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inyoungkim/Downloads/"/>
    </mc:Choice>
  </mc:AlternateContent>
  <xr:revisionPtr revIDLastSave="0" documentId="13_ncr:1_{07ACB8D0-1155-5245-B495-A999BFDD564D}" xr6:coauthVersionLast="47" xr6:coauthVersionMax="47" xr10:uidLastSave="{00000000-0000-0000-0000-000000000000}"/>
  <bookViews>
    <workbookView xWindow="9560" yWindow="1120" windowWidth="60160" windowHeight="32000" xr2:uid="{00000000-000D-0000-FFFF-FFFF00000000}"/>
  </bookViews>
  <sheets>
    <sheet name="DCF" sheetId="2" r:id="rId1"/>
    <sheet name="Beta" sheetId="1" r:id="rId2"/>
  </sheet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27" i="2"/>
  <c r="B26" i="2"/>
  <c r="B5" i="1"/>
  <c r="B7" i="1"/>
  <c r="B17" i="1"/>
  <c r="B15" i="1"/>
  <c r="C15" i="1"/>
  <c r="D15" i="1"/>
  <c r="B16" i="1"/>
  <c r="C17" i="1"/>
  <c r="C16" i="1"/>
  <c r="D17" i="1"/>
  <c r="B25" i="2"/>
  <c r="C4" i="2"/>
  <c r="C6" i="2"/>
  <c r="C7" i="2"/>
  <c r="D4" i="2"/>
  <c r="D6" i="2"/>
  <c r="D7" i="2"/>
  <c r="E4" i="2"/>
  <c r="E6" i="2"/>
  <c r="E7" i="2"/>
  <c r="F4" i="2"/>
  <c r="F6" i="2"/>
  <c r="F7" i="2"/>
  <c r="G4" i="2"/>
  <c r="G6" i="2"/>
  <c r="G7" i="2"/>
  <c r="H4" i="2"/>
  <c r="H6" i="2"/>
  <c r="H7" i="2"/>
  <c r="I4" i="2"/>
  <c r="I6" i="2"/>
  <c r="I7" i="2"/>
  <c r="J4" i="2"/>
  <c r="J6" i="2"/>
  <c r="J7" i="2"/>
  <c r="K4" i="2"/>
  <c r="K6" i="2"/>
  <c r="K7" i="2"/>
  <c r="L4" i="2"/>
  <c r="L6" i="2"/>
  <c r="L7" i="2"/>
  <c r="B11" i="2"/>
  <c r="M4" i="2"/>
  <c r="B12" i="2"/>
  <c r="B13" i="2"/>
  <c r="B14" i="2"/>
  <c r="B20" i="2"/>
  <c r="B22" i="2"/>
  <c r="M6" i="2"/>
</calcChain>
</file>

<file path=xl/sharedStrings.xml><?xml version="1.0" encoding="utf-8"?>
<sst xmlns="http://schemas.openxmlformats.org/spreadsheetml/2006/main" count="55" uniqueCount="55">
  <si>
    <t>OWL Re-levering</t>
  </si>
  <si>
    <t>OWL 시가총액 ($M)</t>
  </si>
  <si>
    <t>시가총액 = 주가 $8.23 × 1,570M주</t>
  </si>
  <si>
    <t>OWL 총부채 ($M)</t>
  </si>
  <si>
    <t>Senior Notes $1,000M + 회전한도 사용분 ~$850M</t>
  </si>
  <si>
    <t>OWL 부채비율 (D/E)</t>
  </si>
  <si>
    <t>Unlevered Beta (Investments &amp; Asset Mgmt)</t>
  </si>
  <si>
    <t>Damodaran, 283개사 평균, 2026년 1월</t>
  </si>
  <si>
    <t>Re-levered β</t>
  </si>
  <si>
    <t>Cost of Capital</t>
  </si>
  <si>
    <t>ERP</t>
  </si>
  <si>
    <t>Damodaran ERP (Apr 2026)</t>
  </si>
  <si>
    <t>Credit spread (BBB등급)</t>
  </si>
  <si>
    <t>Blue Owl Moody's Baa2/BBB+</t>
  </si>
  <si>
    <t>US10Y (Rf)</t>
  </si>
  <si>
    <t>무위험이자율</t>
  </si>
  <si>
    <t>Equity</t>
  </si>
  <si>
    <t>Debt</t>
  </si>
  <si>
    <t>Capital</t>
  </si>
  <si>
    <t>금액</t>
  </si>
  <si>
    <t>비중</t>
  </si>
  <si>
    <t>비용</t>
  </si>
  <si>
    <t>OWL DCF 밸류에이션 (2026/4/16) - FRE 기준</t>
  </si>
  <si>
    <t>FY2025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</si>
  <si>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</si>
  <si>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</si>
  <si>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</si>
  <si>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</si>
  <si>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</si>
  <si>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</si>
  <si>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</si>
  <si>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</si>
  <si>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</si>
  <si>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</si>
  <si>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Terminal</t>
  </si>
  <si>
    <t>FRE ($M)</t>
  </si>
  <si>
    <t>성장률</t>
  </si>
  <si>
    <t>할인계수</t>
  </si>
  <si>
    <t>현재가치</t>
  </si>
  <si>
    <t>밸류에이션</t>
  </si>
  <si>
    <t>FRE PV 합 (Y1-Y10)</t>
  </si>
  <si>
    <t>Terminal Value</t>
  </si>
  <si>
    <t>Terminal Value 현재가치</t>
  </si>
  <si>
    <t>기업가치 (EV)</t>
  </si>
  <si>
    <t>+ 현금</t>
  </si>
  <si>
    <t>- 부채</t>
  </si>
  <si>
    <t>자본 가치 (Equity)</t>
  </si>
  <si>
    <t>발행주식수 (M, fully diluted)</t>
  </si>
  <si>
    <t>주당 가치 ($)</t>
  </si>
  <si>
    <t>현재 주가 ($)</t>
  </si>
  <si>
    <t>업사이드</t>
  </si>
  <si>
    <t>주요 가정</t>
  </si>
  <si>
    <t>WACC</t>
  </si>
  <si>
    <t>영구성장률</t>
  </si>
  <si>
    <t>평균 성장률 (10년)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</si>
</sst>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3" fontId="2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32" customWidth="1"/>
    <col min="2" max="13" width="10" customWidth="1"/>
  </cols>
  <sheetData>
    <row r="1" spans="1:13" ht="16" x14ac:dyDescent="0.2">
      <c r="A1" s="1" t="s">
        <v>22</v>
      </c>
    </row>
    <row r="3" spans="1:13" x14ac:dyDescent="0.2"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31</v>
      </c>
      <c r="K3" s="3" t="s">
        <v>32</v>
      </c>
      <c r="L3" s="3" t="s">
        <v>33</v>
      </c>
      <c r="M3" s="3" t="s">
        <v>34</v>
      </c>
    </row>
    <row r="4" spans="1:13" x14ac:dyDescent="0.2">
      <c r="A4" t="s">
        <v>35</v>
      </c>
      <c r="B4" s="4">
        <v>1497</v>
      </c>
      <c r="C4" s="4">
        <f t="shared" ref="C4:M4" si="0">B4*(1+C5)</f>
        <v>1571.8500000000001</v>
      </c>
      <c r="D4" s="4">
        <f t="shared" si="0"/>
        <v>1666.1610000000003</v>
      </c>
      <c r="E4" s="4">
        <f t="shared" si="0"/>
        <v>1782.7922700000004</v>
      </c>
      <c r="F4" s="4">
        <f t="shared" si="0"/>
        <v>1907.5877289000005</v>
      </c>
      <c r="G4" s="4">
        <f t="shared" si="0"/>
        <v>2022.0429926340005</v>
      </c>
      <c r="H4" s="4">
        <f t="shared" si="0"/>
        <v>2123.1451422657005</v>
      </c>
      <c r="I4" s="4">
        <f t="shared" si="0"/>
        <v>2208.0709479563288</v>
      </c>
      <c r="J4" s="4">
        <f t="shared" si="0"/>
        <v>2296.3937858745821</v>
      </c>
      <c r="K4" s="4">
        <f t="shared" si="0"/>
        <v>2376.7675683801922</v>
      </c>
      <c r="L4" s="4">
        <f t="shared" si="0"/>
        <v>2448.0705954315981</v>
      </c>
      <c r="M4" s="4">
        <f t="shared" si="0"/>
        <v>2521.5127132945463</v>
      </c>
    </row>
    <row r="5" spans="1:13" x14ac:dyDescent="0.2">
      <c r="A5" t="s">
        <v>36</v>
      </c>
      <c r="C5" s="5">
        <v>0.05</v>
      </c>
      <c r="D5" s="5">
        <v>0.06</v>
      </c>
      <c r="E5" s="5">
        <v>7.0000000000000007E-2</v>
      </c>
      <c r="F5" s="5">
        <v>7.0000000000000007E-2</v>
      </c>
      <c r="G5" s="5">
        <v>0.06</v>
      </c>
      <c r="H5" s="5">
        <v>0.05</v>
      </c>
      <c r="I5" s="5">
        <v>0.04</v>
      </c>
      <c r="J5" s="5">
        <v>0.04</v>
      </c>
      <c r="K5" s="5">
        <v>3.5000000000000003E-2</v>
      </c>
      <c r="L5" s="5">
        <v>0.03</v>
      </c>
      <c r="M5" s="5">
        <v>0.03</v>
      </c>
    </row>
    <row r="6" spans="1:13" x14ac:dyDescent="0.2">
      <c r="A6" t="s">
        <v>37</v>
      </c>
      <c r="C6" s="6">
        <f>1/(1+Beta!$D$17)</f>
        <v>0.93570456233286481</v>
      </c>
      <c r="D6" s="6">
        <f>C6/(1+Beta!$D$17)</f>
        <v>0.87554302797053807</v>
      </c>
      <c r="E6" s="6">
        <f>D6/(1+Beta!$D$17)</f>
        <v>0.81924960579076345</v>
      </c>
      <c r="F6" s="6">
        <f>E6/(1+Beta!$D$17)</f>
        <v>0.76657559382781826</v>
      </c>
      <c r="G6" s="6">
        <f>F6/(1+Beta!$D$17)</f>
        <v>0.71728828051771454</v>
      </c>
      <c r="H6" s="6">
        <f>G6/(1+Beta!$D$17)</f>
        <v>0.67116991658832115</v>
      </c>
      <c r="I6" s="6">
        <f>H6/(1+Beta!$D$17)</f>
        <v>0.62801675305226035</v>
      </c>
      <c r="J6" s="6">
        <f>I6/(1+Beta!$D$17)</f>
        <v>0.58763814105247203</v>
      </c>
      <c r="K6" s="6">
        <f>J6/(1+Beta!$D$17)</f>
        <v>0.54985568958360154</v>
      </c>
      <c r="L6" s="6">
        <f>K6/(1+Beta!$D$17)</f>
        <v>0.51450247736805943</v>
      </c>
      <c r="M6" s="6">
        <f>L6</f>
        <v>0.51450247736805943</v>
      </c>
    </row>
    <row r="7" spans="1:13" x14ac:dyDescent="0.2">
      <c r="A7" t="s">
        <v>38</v>
      </c>
      <c r="B7" s="4"/>
      <c r="C7" s="4">
        <f t="shared" ref="C7:L7" si="1">C4*C6</f>
        <v>1470.7872163029137</v>
      </c>
      <c r="D7" s="4">
        <f t="shared" si="1"/>
        <v>1458.7956470264198</v>
      </c>
      <c r="E7" s="4">
        <f t="shared" si="1"/>
        <v>1460.5518644043207</v>
      </c>
      <c r="F7" s="4">
        <f t="shared" si="1"/>
        <v>1462.3101960601771</v>
      </c>
      <c r="G7" s="4">
        <f t="shared" si="1"/>
        <v>1450.3877413193359</v>
      </c>
      <c r="H7" s="4">
        <f t="shared" si="1"/>
        <v>1424.9911480393694</v>
      </c>
      <c r="I7" s="4">
        <f t="shared" si="1"/>
        <v>1386.7055472445602</v>
      </c>
      <c r="J7" s="4">
        <f t="shared" si="1"/>
        <v>1349.4485754557879</v>
      </c>
      <c r="K7" s="4">
        <f t="shared" si="1"/>
        <v>1306.8791702916303</v>
      </c>
      <c r="L7" s="4">
        <f t="shared" si="1"/>
        <v>1259.5383861214575</v>
      </c>
      <c r="M7" s="4"/>
    </row>
    <row r="10" spans="1:13" x14ac:dyDescent="0.2">
      <c r="A10" s="7" t="s">
        <v>39</v>
      </c>
    </row>
    <row r="11" spans="1:13" x14ac:dyDescent="0.2">
      <c r="A11" t="s">
        <v>40</v>
      </c>
      <c r="B11" s="4">
        <f>SUM(C7:L7)</f>
        <v>14030.395492265972</v>
      </c>
    </row>
    <row r="12" spans="1:13" x14ac:dyDescent="0.2">
      <c r="A12" t="s">
        <v>41</v>
      </c>
      <c r="B12" s="4">
        <f>M4/(Beta!$D$17-M5)</f>
        <v>65132.822384130232</v>
      </c>
    </row>
    <row r="13" spans="1:13" x14ac:dyDescent="0.2">
      <c r="A13" t="s">
        <v>42</v>
      </c>
      <c r="B13" s="4">
        <f>B12*L6</f>
        <v>33510.998474608801</v>
      </c>
    </row>
    <row r="14" spans="1:13" x14ac:dyDescent="0.2">
      <c r="A14" s="2" t="s">
        <v>43</v>
      </c>
      <c r="B14" s="8">
        <f>B11+B13</f>
        <v>47541.393966874777</v>
      </c>
    </row>
    <row r="16" spans="1:13" x14ac:dyDescent="0.2">
      <c r="A16" t="s">
        <v>44</v>
      </c>
      <c r="B16" s="4">
        <v>195</v>
      </c>
    </row>
    <row r="17" spans="1:2" x14ac:dyDescent="0.2">
      <c r="A17" t="s">
        <v>45</v>
      </c>
      <c r="B17" s="4">
        <v>3862.57</v>
      </c>
    </row>
    <row r="18" spans="1:2" x14ac:dyDescent="0.2">
      <c r="A18" s="2" t="s">
        <v>46</v>
      </c>
      <c r="B18" s="8">
        <f>B14+B16-B17</f>
        <v>43873.823966874777</v>
      </c>
    </row>
    <row r="19" spans="1:2" x14ac:dyDescent="0.2">
      <c r="A19" t="s">
        <v>47</v>
      </c>
      <c r="B19" s="4">
        <v>1570</v>
      </c>
    </row>
    <row r="20" spans="1:2" ht="16" x14ac:dyDescent="0.2">
      <c r="A20" s="1" t="s">
        <v>48</v>
      </c>
      <c r="B20" s="9">
        <f>B18/B19</f>
        <v>27.945110806926611</v>
      </c>
    </row>
    <row r="21" spans="1:2" x14ac:dyDescent="0.2">
      <c r="A21" t="s">
        <v>49</v>
      </c>
      <c r="B21" s="10">
        <v>8.23</v>
      </c>
    </row>
    <row r="22" spans="1:2" x14ac:dyDescent="0.2">
      <c r="A22" t="s">
        <v>50</v>
      </c>
      <c r="B22" s="5">
        <f>B20/B21-1</f>
        <v>2.3955177165159913</v>
      </c>
    </row>
    <row r="24" spans="1:2" x14ac:dyDescent="0.2">
      <c r="A24" s="2" t="s">
        <v>51</v>
      </c>
    </row>
    <row r="25" spans="1:2" x14ac:dyDescent="0.2">
      <c r="A25" t="s">
        <v>52</v>
      </c>
      <c r="B25" s="11">
        <f>Beta!D17</f>
        <v>6.8713395504705149E-2</v>
      </c>
    </row>
    <row r="26" spans="1:2" x14ac:dyDescent="0.2">
      <c r="A26" t="s">
        <v>53</v>
      </c>
      <c r="B26" s="11">
        <f>M5</f>
        <v>0.03</v>
      </c>
    </row>
    <row r="27" spans="1:2" x14ac:dyDescent="0.2">
      <c r="A27" t="s">
        <v>54</v>
      </c>
      <c r="B27" s="11">
        <f>AVERAGE(C5:L5)</f>
        <v>5.0500000000000003E-2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7"/>
  <sheetViews>
    <sheetView workbookViewId="0">
      <selection activeCell="B15" sqref="B15"/>
    </sheetView>
  </sheetViews>
  <sheetFormatPr baseColWidth="10" defaultColWidth="8.83203125" defaultRowHeight="15" x14ac:dyDescent="0.2"/>
  <cols>
    <col min="1" max="1" width="38" customWidth="1"/>
    <col min="2" max="3" width="12" customWidth="1"/>
    <col min="4" max="4" width="45" customWidth="1"/>
    <col min="5" max="5" width="12" customWidth="1"/>
  </cols>
  <sheetData>
    <row r="2" spans="1:5" ht="16" x14ac:dyDescent="0.2">
      <c r="A2" s="1" t="s">
        <v>0</v>
      </c>
    </row>
    <row r="3" spans="1:5" x14ac:dyDescent="0.2">
      <c r="A3" t="s">
        <v>1</v>
      </c>
      <c r="D3" t="s">
        <v>2</v>
      </c>
      <c r="E3">
        <v>12921</v>
      </c>
    </row>
    <row r="4" spans="1:5" x14ac:dyDescent="0.2">
      <c r="A4" t="s">
        <v>3</v>
      </c>
      <c r="D4" t="s">
        <v>4</v>
      </c>
      <c r="E4">
        <v>1850</v>
      </c>
    </row>
    <row r="5" spans="1:5" x14ac:dyDescent="0.2">
      <c r="A5" t="s">
        <v>5</v>
      </c>
      <c r="B5">
        <f>E4/E3</f>
        <v>0.1431777726182184</v>
      </c>
    </row>
    <row r="6" spans="1:5" x14ac:dyDescent="0.2">
      <c r="A6" t="s">
        <v>6</v>
      </c>
      <c r="B6">
        <v>0.59</v>
      </c>
      <c r="D6" t="s">
        <v>7</v>
      </c>
    </row>
    <row r="7" spans="1:5" x14ac:dyDescent="0.2">
      <c r="A7" t="s">
        <v>8</v>
      </c>
      <c r="B7">
        <f>B6*(1+(1-0.21)*B5)</f>
        <v>0.65673515981735153</v>
      </c>
    </row>
    <row r="9" spans="1:5" x14ac:dyDescent="0.2">
      <c r="A9" s="2" t="s">
        <v>9</v>
      </c>
    </row>
    <row r="10" spans="1:5" x14ac:dyDescent="0.2">
      <c r="A10" t="s">
        <v>10</v>
      </c>
      <c r="B10">
        <v>4.3799999999999999E-2</v>
      </c>
      <c r="D10" t="s">
        <v>11</v>
      </c>
    </row>
    <row r="11" spans="1:5" x14ac:dyDescent="0.2">
      <c r="A11" t="s">
        <v>12</v>
      </c>
      <c r="B11">
        <v>1.7000000000000001E-2</v>
      </c>
      <c r="D11" t="s">
        <v>13</v>
      </c>
    </row>
    <row r="12" spans="1:5" x14ac:dyDescent="0.2">
      <c r="A12" t="s">
        <v>14</v>
      </c>
      <c r="B12">
        <v>4.2999999999999997E-2</v>
      </c>
      <c r="D12" t="s">
        <v>15</v>
      </c>
    </row>
    <row r="14" spans="1:5" x14ac:dyDescent="0.2">
      <c r="B14" s="2" t="s">
        <v>16</v>
      </c>
      <c r="C14" s="2" t="s">
        <v>17</v>
      </c>
      <c r="D14" s="2" t="s">
        <v>18</v>
      </c>
    </row>
    <row r="15" spans="1:5" x14ac:dyDescent="0.2">
      <c r="A15" t="s">
        <v>19</v>
      </c>
      <c r="B15">
        <f>E3</f>
        <v>12921</v>
      </c>
      <c r="C15">
        <f>E4</f>
        <v>1850</v>
      </c>
      <c r="D15">
        <f>B15+C15</f>
        <v>14771</v>
      </c>
    </row>
    <row r="16" spans="1:5" x14ac:dyDescent="0.2">
      <c r="A16" t="s">
        <v>20</v>
      </c>
      <c r="B16">
        <f>B15/D15</f>
        <v>0.87475458669013606</v>
      </c>
      <c r="C16">
        <f>C15/D15</f>
        <v>0.12524541330986391</v>
      </c>
      <c r="D16">
        <v>1</v>
      </c>
    </row>
    <row r="17" spans="1:4" x14ac:dyDescent="0.2">
      <c r="A17" t="s">
        <v>21</v>
      </c>
      <c r="B17">
        <f>B12+B7*B10</f>
        <v>7.1764999999999995E-2</v>
      </c>
      <c r="C17">
        <f>(B12+B11)*(1-0.21)</f>
        <v>4.7399999999999998E-2</v>
      </c>
      <c r="D17" s="2">
        <f>B17*B16+C17*C16</f>
        <v>6.8713395504705149E-2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DCF</vt:lpstr>
      <vt:lpstr>Beta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Minyoung Kim</cp:lastModifiedBy>
  <dcterms:created xsi:type="dcterms:W3CDTF">2026-04-16T03:53:37Z</dcterms:created>
  <dcterms:modified xsi:type="dcterms:W3CDTF">2026-04-17T05:53:10Z</dcterms:modified>
</cp:coreProperties>
</file>