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minyoungkim/Downloads/"/>
    </mc:Choice>
  </mc:AlternateContent>
  <xr:revisionPtr revIDLastSave="0" documentId="11_F8759BD90DFEBE5B1FCE5997ED398C6A201F2D39" xr6:coauthVersionLast="47" xr6:coauthVersionMax="47" xr10:uidLastSave="{00000000-0000-0000-0000-000000000000}"/>
  <bookViews>
    <workbookView xWindow="5160" yWindow="1480" windowWidth="30880" windowHeight="21620" tabRatio="500" xr2:uid="{00000000-000D-0000-FFFF-FFFF00000000}"/>
  </bookViews>
  <sheets>
    <sheet name="DCF" sheetId="1" r:id="rId1"/>
    <sheet name="GAAP-Adj Bridge" sheetId="2" r:id="rId2"/>
    <sheet name="Sensitivity" sheetId="3" r:id="rId3"/>
    <sheet name="Bet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" l="1"/>
  <c r="C45" i="2" s="1"/>
  <c r="C44" i="2"/>
  <c r="C43" i="2"/>
  <c r="C42" i="2"/>
  <c r="B39" i="2"/>
  <c r="C39" i="2" s="1"/>
  <c r="C38" i="2"/>
  <c r="C37" i="2"/>
  <c r="C36" i="2"/>
  <c r="C35" i="2"/>
  <c r="B32" i="2"/>
  <c r="B47" i="2" s="1"/>
  <c r="C47" i="2" s="1"/>
  <c r="B21" i="2"/>
  <c r="C21" i="2" s="1"/>
  <c r="B20" i="2"/>
  <c r="C20" i="2" s="1"/>
  <c r="C18" i="2"/>
  <c r="C17" i="2"/>
  <c r="C16" i="2"/>
  <c r="C15" i="2"/>
  <c r="C14" i="2"/>
  <c r="C13" i="2"/>
  <c r="C12" i="2"/>
  <c r="C11" i="2"/>
  <c r="C10" i="2"/>
  <c r="C9" i="2"/>
  <c r="C8" i="2"/>
  <c r="C6" i="2"/>
  <c r="B64" i="1"/>
  <c r="B55" i="1"/>
  <c r="B56" i="1" s="1"/>
  <c r="B61" i="1" s="1"/>
  <c r="C16" i="1"/>
  <c r="C15" i="1"/>
  <c r="C17" i="1" s="1"/>
  <c r="C19" i="1" s="1"/>
  <c r="B15" i="1"/>
  <c r="B16" i="1" s="1"/>
  <c r="B17" i="1" s="1"/>
  <c r="C5" i="1"/>
  <c r="D5" i="1" s="1"/>
  <c r="C34" i="4"/>
  <c r="D32" i="4"/>
  <c r="C32" i="4"/>
  <c r="C33" i="4" s="1"/>
  <c r="B32" i="4"/>
  <c r="B33" i="4" s="1"/>
  <c r="B23" i="4"/>
  <c r="B20" i="4"/>
  <c r="E18" i="4"/>
  <c r="B21" i="4" s="1"/>
  <c r="D18" i="4"/>
  <c r="B22" i="4" l="1"/>
  <c r="B24" i="4" s="1"/>
  <c r="B34" i="4" s="1"/>
  <c r="D34" i="4" s="1"/>
  <c r="B10" i="1" s="1"/>
  <c r="D15" i="1"/>
  <c r="E5" i="1"/>
  <c r="B22" i="2"/>
  <c r="C22" i="2" s="1"/>
  <c r="F5" i="1" l="1"/>
  <c r="E15" i="1"/>
  <c r="D16" i="1"/>
  <c r="D17" i="1" s="1"/>
  <c r="D19" i="1" s="1"/>
  <c r="D21" i="1" s="1"/>
  <c r="G20" i="1"/>
  <c r="F20" i="1"/>
  <c r="E20" i="1"/>
  <c r="D20" i="1"/>
  <c r="C20" i="1"/>
  <c r="C21" i="1" s="1"/>
  <c r="E16" i="1" l="1"/>
  <c r="E17" i="1"/>
  <c r="E19" i="1" s="1"/>
  <c r="E21" i="1" s="1"/>
  <c r="G5" i="1"/>
  <c r="G15" i="1" s="1"/>
  <c r="F15" i="1"/>
  <c r="F16" i="1" l="1"/>
  <c r="F17" i="1" s="1"/>
  <c r="F19" i="1" s="1"/>
  <c r="F21" i="1" s="1"/>
  <c r="G16" i="1"/>
  <c r="G17" i="1"/>
  <c r="G19" i="1" s="1"/>
  <c r="B26" i="1" l="1"/>
  <c r="B24" i="1"/>
  <c r="B25" i="1" s="1"/>
  <c r="G21" i="1"/>
  <c r="B27" i="1" l="1"/>
  <c r="B34" i="1" s="1"/>
  <c r="B36" i="1" s="1"/>
  <c r="B60" i="1" l="1"/>
  <c r="B38" i="1"/>
  <c r="B40" i="1"/>
  <c r="G71" i="1" l="1"/>
  <c r="F71" i="1"/>
  <c r="B63" i="1"/>
  <c r="B65" i="1" s="1"/>
  <c r="D71" i="1"/>
  <c r="C71" i="1"/>
  <c r="B71" i="1"/>
  <c r="I71" i="1"/>
  <c r="B67" i="1"/>
  <c r="H71" i="1"/>
  <c r="E71" i="1"/>
</calcChain>
</file>

<file path=xl/sharedStrings.xml><?xml version="1.0" encoding="utf-8"?>
<sst xmlns="http://schemas.openxmlformats.org/spreadsheetml/2006/main" count="213" uniqueCount="191">
  <si>
    <t>Peer</t>
  </si>
  <si>
    <t>Beta(5Y)</t>
  </si>
  <si>
    <t>Tax rate</t>
  </si>
  <si>
    <t>Market Cap</t>
  </si>
  <si>
    <t>Total Debt</t>
  </si>
  <si>
    <t>V</t>
  </si>
  <si>
    <t>XYZ</t>
  </si>
  <si>
    <t>ADYEN</t>
  </si>
  <si>
    <t>FISV</t>
  </si>
  <si>
    <t>FIS</t>
  </si>
  <si>
    <t>TOST</t>
  </si>
  <si>
    <t>WEX</t>
  </si>
  <si>
    <t>NEXI</t>
  </si>
  <si>
    <t>DLO</t>
  </si>
  <si>
    <t>FOUR</t>
  </si>
  <si>
    <t>EVTC</t>
  </si>
  <si>
    <t>MQ</t>
  </si>
  <si>
    <t>WLN</t>
  </si>
  <si>
    <t>IMXI</t>
  </si>
  <si>
    <t>TYR</t>
  </si>
  <si>
    <t>RPAY</t>
  </si>
  <si>
    <t>베타 중간값</t>
  </si>
  <si>
    <t>시장부채비율</t>
  </si>
  <si>
    <t>베타(Unlevered)</t>
  </si>
  <si>
    <t>GPN 부채비율</t>
  </si>
  <si>
    <t>GPN Market Cap</t>
  </si>
  <si>
    <t>GPN 베타</t>
  </si>
  <si>
    <t>GPN Total Debt</t>
  </si>
  <si>
    <t>ERP</t>
  </si>
  <si>
    <t>Credit spread</t>
  </si>
  <si>
    <t>US10Y</t>
  </si>
  <si>
    <t>Cost of Capital</t>
  </si>
  <si>
    <t>Equity</t>
  </si>
  <si>
    <t>Debt</t>
  </si>
  <si>
    <t>Capital</t>
  </si>
  <si>
    <t>금액</t>
  </si>
  <si>
    <t>비중</t>
  </si>
  <si>
    <t>비용</t>
  </si>
  <si>
    <t>GPN DCF 밸류에이션 (Worldpay 합산 기준)</t>
  </si>
  <si>
    <t>Base (2026)</t>
  </si>
  <si>
    <t>2027</t>
  </si>
  <si>
    <t>2028</t>
  </si>
  <si>
    <t>2029</t>
  </si>
  <si>
    <t>2030</t>
  </si>
  <si>
    <t>2031 (Terminal)</t>
  </si>
  <si>
    <t>가정</t>
  </si>
  <si>
    <t>매출 ($M)</t>
  </si>
  <si>
    <t>매출 성장률</t>
  </si>
  <si>
    <t>GAAP 영업이익률</t>
  </si>
  <si>
    <t>실효세율</t>
  </si>
  <si>
    <t>WACC(Weighted Average Cost of Capital)</t>
  </si>
  <si>
    <t>Terminal WACC</t>
  </si>
  <si>
    <t>Terminal 성장률</t>
  </si>
  <si>
    <t>계산</t>
  </si>
  <si>
    <t>영업이익</t>
  </si>
  <si>
    <t>세금</t>
  </si>
  <si>
    <t>NOPAT</t>
  </si>
  <si>
    <t>재투자</t>
  </si>
  <si>
    <t>FCFF</t>
  </si>
  <si>
    <t>할인계수</t>
  </si>
  <si>
    <t>PV(FCFF)</t>
  </si>
  <si>
    <t>밸류에이션</t>
  </si>
  <si>
    <t>Terminal Value</t>
  </si>
  <si>
    <t>PV(Terminal Value)</t>
  </si>
  <si>
    <t>PV(5년 CF)</t>
  </si>
  <si>
    <t>기업가치 (EV)</t>
  </si>
  <si>
    <t>증감 항목</t>
  </si>
  <si>
    <t>현금</t>
  </si>
  <si>
    <t xml:space="preserve">추정치. 25년말 8,336+7,700(TSYS 매각대금) - 6,200(Worldpay 매수대금) - 각종거래비용(836) </t>
  </si>
  <si>
    <t>부채</t>
  </si>
  <si>
    <t>25 Q4어닝콜. 합병후 부채</t>
  </si>
  <si>
    <t>소수지분</t>
  </si>
  <si>
    <t>Equity Value ($M)</t>
  </si>
  <si>
    <t>발행주식수 (M)</t>
  </si>
  <si>
    <t>주당가치</t>
  </si>
  <si>
    <t>현재 주가</t>
  </si>
  <si>
    <t>업사이드</t>
  </si>
  <si>
    <t>Terminal Value 비중</t>
  </si>
  <si>
    <t>주요 가정 메모</t>
  </si>
  <si>
    <t>Base year 2026: Worldpay 합산 후 GAAP 매출 $11.5B</t>
  </si>
  <si>
    <t>마진 22%→33%: 통합비용 소멸 + Technology 상각 종료 + Customer 상각 잔존</t>
  </si>
  <si>
    <t xml:space="preserve">재투자 $400-600M. 기존 재투자 참고 및 25년 소프트웨어 통합 비용 감소 가정. </t>
  </si>
  <si>
    <t>합병 후 부채 $22.3B (25 Q4 어닝콜)</t>
  </si>
  <si>
    <t>Terminal growth 4%: 미국채 10년 기준</t>
  </si>
  <si>
    <t>Terminal WACC 8%: 합병 후 레버리지 정상화 반영</t>
  </si>
  <si>
    <t>망할 경우</t>
  </si>
  <si>
    <t>Book Value ($M)</t>
  </si>
  <si>
    <t>합병 후 추정</t>
  </si>
  <si>
    <t>회수율</t>
  </si>
  <si>
    <t>회수금액</t>
  </si>
  <si>
    <t>Distress 시 주당가치</t>
  </si>
  <si>
    <t>망할 확률 반영 밸류에이션</t>
  </si>
  <si>
    <t>망할 확률</t>
  </si>
  <si>
    <t>DCF 주당가치 (Going Concern)</t>
  </si>
  <si>
    <t>망할 경우 주당가치</t>
  </si>
  <si>
    <t>망할 확률 반영 주당가치</t>
  </si>
  <si>
    <t>현재 주가가 보는 망할 확률</t>
  </si>
  <si>
    <t>망할 확률 민감도</t>
  </si>
  <si>
    <t>GPN 이익구조 분해: GAAP vs Adjusted (FY2025 기준 → FY2026 Pro Forma)</t>
  </si>
  <si>
    <t>FY2025 실적 (합병 전, Continuing Operations 기준)</t>
  </si>
  <si>
    <t>금액 ($M)</t>
  </si>
  <si>
    <t>매출 대비</t>
  </si>
  <si>
    <t>성격</t>
  </si>
  <si>
    <t>소멸 시기</t>
  </si>
  <si>
    <t>GAAP 매출</t>
  </si>
  <si>
    <t>GAAP 영업이익</t>
  </si>
  <si>
    <t>인수 무형자산 상각</t>
  </si>
  <si>
    <t>반영구</t>
  </si>
  <si>
    <t>TSYS/Heartland/EVO: 5~15년에 걸쳐 감소</t>
  </si>
  <si>
    <t xml:space="preserve">  - Customer relationships (~$4B)</t>
  </si>
  <si>
    <t>10-15년 상각, 연 $300-450M</t>
  </si>
  <si>
    <t xml:space="preserve">  - Technology (~$2B)</t>
  </si>
  <si>
    <t>일시</t>
  </si>
  <si>
    <t>5-7년 상각, 2029-2031 종료</t>
  </si>
  <si>
    <t xml:space="preserve">  - Trade names</t>
  </si>
  <si>
    <t>10-20년</t>
  </si>
  <si>
    <t xml:space="preserve">  - Legacy (Heartland/EVO 등)</t>
  </si>
  <si>
    <t>대부분 2027-2029 만료</t>
  </si>
  <si>
    <t>통합/분리 비용</t>
  </si>
  <si>
    <t>2~3년 후 소멸</t>
  </si>
  <si>
    <t>사업 전환 비용</t>
  </si>
  <si>
    <t>구조조정/해고</t>
  </si>
  <si>
    <t>1~2년</t>
  </si>
  <si>
    <t>현대화 비용</t>
  </si>
  <si>
    <t>2~3년</t>
  </si>
  <si>
    <t>시설 정리</t>
  </si>
  <si>
    <t>법적 분쟁/기타</t>
  </si>
  <si>
    <t>비반복</t>
  </si>
  <si>
    <t>조정 합계 (중단사업 제외)</t>
  </si>
  <si>
    <t xml:space="preserve">  일시적 비용 (2~3년 내 소멸)</t>
  </si>
  <si>
    <t xml:space="preserve">  반영구적 비용 (감소하나 잔존)</t>
  </si>
  <si>
    <t>조정 영업이익</t>
  </si>
  <si>
    <t>조정 영업이익률 (Adj Rev $9.3B 기준)</t>
  </si>
  <si>
    <t>FY2026 Pro Forma 추정 (합병 후)</t>
  </si>
  <si>
    <t>합산 GAAP 매출</t>
  </si>
  <si>
    <t>Adjusted 영업이익 (44% 가정)</t>
  </si>
  <si>
    <t>차감: 인수 무형자산 상각</t>
  </si>
  <si>
    <t>기존 상각 (TSYS/Heartland/EVO, Issuer 제외)</t>
  </si>
  <si>
    <t>기존 잔존분</t>
  </si>
  <si>
    <t>Worldpay Customer relationships</t>
  </si>
  <si>
    <t>$5.5B / 12년 추정</t>
  </si>
  <si>
    <t>Worldpay Technology</t>
  </si>
  <si>
    <t>$2.3B / 6년 추정</t>
  </si>
  <si>
    <t>Worldpay Trade names</t>
  </si>
  <si>
    <t>$1.1B / 15년 추정</t>
  </si>
  <si>
    <t>소계: 인수 상각</t>
  </si>
  <si>
    <t>차감: 통합/전환 비용</t>
  </si>
  <si>
    <t>Worldpay 통합 비용</t>
  </si>
  <si>
    <t>경영진 가이던스 추정</t>
  </si>
  <si>
    <t>사업 전환/현대화</t>
  </si>
  <si>
    <t>2025년 수준 점진 감소</t>
  </si>
  <si>
    <t>구조조정/기타</t>
  </si>
  <si>
    <t>인력 조정, 시설</t>
  </si>
  <si>
    <t>소계: 통합/전환</t>
  </si>
  <si>
    <t>GAAP 영업이익 (추정)</t>
  </si>
  <si>
    <t>마진 경로: 비현금/일시 비용 소멸에 따른 GAAP 마진 회복</t>
  </si>
  <si>
    <t>Y0 (2026)</t>
  </si>
  <si>
    <t>Y1 (2027)</t>
  </si>
  <si>
    <t>Y2 (2028)</t>
  </si>
  <si>
    <t>Y3 (2029)</t>
  </si>
  <si>
    <t>Y5 (2031)</t>
  </si>
  <si>
    <t>Terminal (Y7+)</t>
  </si>
  <si>
    <t>조정 영업이익률</t>
  </si>
  <si>
    <t>차감: 인수 상각</t>
  </si>
  <si>
    <t>주의: Worldpay PPA 미확정. 상각기간 가정에 따라 수치 변동 가능.</t>
  </si>
  <si>
    <t>Source: GPN FY2025 10-K (Schedule 7 reconciliation), 합병 PPA는 추정치</t>
  </si>
  <si>
    <t>Consolidation Cycle: GPN 주요 인수 이력</t>
  </si>
  <si>
    <t>연도</t>
  </si>
  <si>
    <t>대상</t>
  </si>
  <si>
    <t>금액 ($B)</t>
  </si>
  <si>
    <t>상각 추가 (추정)</t>
  </si>
  <si>
    <t>상태</t>
  </si>
  <si>
    <t>Heartland Payment Systems</t>
  </si>
  <si>
    <t>~$1.5B 무형자산</t>
  </si>
  <si>
    <t>상각 대부분 완료</t>
  </si>
  <si>
    <t>TSYS</t>
  </si>
  <si>
    <t>~$7B 무형자산</t>
  </si>
  <si>
    <t>상각 진행 중 (2029-2034)</t>
  </si>
  <si>
    <t>EVO Payments</t>
  </si>
  <si>
    <t>상각 진행 중 (2028-2038)</t>
  </si>
  <si>
    <t>Worldpay</t>
  </si>
  <si>
    <t>~$8.9B 무형자산 (추정)</t>
  </si>
  <si>
    <t>상각 시작 (2026-2040)</t>
  </si>
  <si>
    <t>핵심 질문: Worldpay가 마지막 빅딜인가?</t>
  </si>
  <si>
    <t>→ 그렇다면: 상각 자연 감소, GAAP 마진 35%+ 도달 가능</t>
  </si>
  <si>
    <t>→ 아니라면: 새 PPA 유입, GAAP 마진 22~27% 박스권 영구 지속</t>
  </si>
  <si>
    <t>→ 시장이 마진 23~24%를 반영하는 건, "어차피 또 살 거잖아"를 가격에 넣고 있을 가능성</t>
  </si>
  <si>
    <t>Sensitivity: Terminal 마진 × WACC (망할 확률 15% 반영)</t>
  </si>
  <si>
    <t>마진 ↓ / WACC →</t>
  </si>
  <si>
    <t>현재 WACC 7.6%, Terminal 마진 33% 기준 → $154</t>
  </si>
  <si>
    <t>성장률 4% 고정. 노랑=$76±8, 초록=업사이드, 빨강=다운사이드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</si>
</sst>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0.000"/>
    <numFmt numFmtId="166" formatCode="\+0.0%;\-0.0%"/>
    <numFmt numFmtId="167" formatCode="\$#,##0.00"/>
    <numFmt numFmtId="168" formatCode="\$#,##0"/>
    <numFmt numFmtId="169" formatCode="#,##0;\(#,##0\)"/>
    <numFmt numFmtId="170" formatCode="\$#,##0.0"/>
    <numFmt numFmtId="171" formatCode="_(* #,##0.00_);_(* \(#,##0.00\);_(* \-??_);_(@_)"/>
  </numFmts>
  <fonts count="31">
    <font>
      <sz val="12"/>
      <color theme="1"/>
      <name val="Apple SD Gothic Neo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b/>
      <sz val="13"/>
      <color rgb="FFFFFFFF"/>
      <name val="Apple SD Gothic Neo Regular"/>
    </font>
    <font>
      <sz val="10"/>
      <name val="Apple SD Gothic Neo Regular"/>
    </font>
    <font>
      <sz val="12"/>
      <color theme="1"/>
      <name val="Apple SD Gothic Neo Regular"/>
    </font>
    <font>
      <b/>
      <sz val="10"/>
      <color rgb="FFFFFFFF"/>
      <name val="Apple SD Gothic Neo Regular"/>
    </font>
    <font>
      <b/>
      <sz val="10.5"/>
      <color rgb="FF1B2A4A"/>
      <name val="Apple SD Gothic Neo Regular"/>
    </font>
    <font>
      <sz val="10"/>
      <color rgb="FF333333"/>
      <name val="Apple SD Gothic Neo Regular"/>
    </font>
    <font>
      <sz val="10"/>
      <color rgb="FF0000FF"/>
      <name val="Apple SD Gothic Neo Regular"/>
    </font>
    <font>
      <sz val="10"/>
      <color rgb="FF000000"/>
      <name val="Apple SD Gothic Neo Regular"/>
    </font>
    <font>
      <i/>
      <sz val="9"/>
      <color rgb="FF888888"/>
      <name val="Apple SD Gothic Neo Regular"/>
    </font>
    <font>
      <b/>
      <sz val="12"/>
      <color rgb="FF1B2A4A"/>
      <name val="Apple SD Gothic Neo Regular"/>
    </font>
    <font>
      <b/>
      <sz val="14"/>
      <color rgb="FF1B2A4A"/>
      <name val="Apple SD Gothic Neo Regular"/>
    </font>
    <font>
      <sz val="9"/>
      <color rgb="FF808080"/>
      <name val="Apple SD Gothic Neo Regular"/>
    </font>
    <font>
      <b/>
      <sz val="10"/>
      <name val="Apple SD Gothic Neo Regular"/>
    </font>
    <font>
      <b/>
      <sz val="12"/>
      <color rgb="FFCC0000"/>
      <name val="Apple SD Gothic Neo Regular"/>
    </font>
    <font>
      <b/>
      <sz val="14"/>
      <color rgb="FFCC0000"/>
      <name val="Apple SD Gothic Neo Regular"/>
    </font>
    <font>
      <b/>
      <sz val="10"/>
      <color rgb="FF000000"/>
      <name val="Apple SD Gothic Neo Regular"/>
    </font>
    <font>
      <sz val="10"/>
      <color rgb="FFFF0000"/>
      <name val="Apple SD Gothic Neo Regular"/>
    </font>
    <font>
      <sz val="10"/>
      <color rgb="FF008000"/>
      <name val="Apple SD Gothic Neo Regular"/>
    </font>
    <font>
      <i/>
      <sz val="10"/>
      <color rgb="FF1B2A4A"/>
      <name val="Apple SD Gothic Neo Regular"/>
    </font>
    <font>
      <b/>
      <sz val="11"/>
      <name val="Apple SD Gothic Neo Regular"/>
    </font>
    <font>
      <sz val="11"/>
      <color rgb="FF0000FF"/>
      <name val="Apple SD Gothic Neo Regular"/>
    </font>
    <font>
      <sz val="10"/>
      <name val="Arial"/>
      <family val="2"/>
    </font>
    <font>
      <b/>
      <sz val="13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color rgb="FF88888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2C3E6B"/>
        <bgColor rgb="FF333333"/>
      </patternFill>
    </fill>
    <fill>
      <patternFill patternType="solid">
        <fgColor rgb="FFF5F6FA"/>
        <bgColor rgb="FFFFFFFF"/>
      </patternFill>
    </fill>
    <fill>
      <patternFill patternType="solid">
        <fgColor rgb="FFFFF8E1"/>
        <bgColor rgb="FFFFF3CD"/>
      </patternFill>
    </fill>
    <fill>
      <patternFill patternType="solid">
        <fgColor rgb="FFE8F5E9"/>
        <bgColor rgb="FFF5F6FA"/>
      </patternFill>
    </fill>
    <fill>
      <patternFill patternType="solid">
        <fgColor rgb="FFFDE8E8"/>
        <bgColor rgb="FFFFF3CD"/>
      </patternFill>
    </fill>
    <fill>
      <patternFill patternType="solid">
        <fgColor rgb="FFC6EFCE"/>
        <bgColor rgb="FFD4EDDA"/>
      </patternFill>
    </fill>
    <fill>
      <patternFill patternType="solid">
        <fgColor rgb="FF1B2A4A"/>
      </patternFill>
    </fill>
    <fill>
      <patternFill patternType="solid">
        <fgColor rgb="FF2C3E6B"/>
      </patternFill>
    </fill>
    <fill>
      <patternFill patternType="solid">
        <fgColor rgb="FFF5F6FA"/>
      </patternFill>
    </fill>
    <fill>
      <patternFill patternType="solid">
        <fgColor rgb="FFD4EDDA"/>
      </patternFill>
    </fill>
    <fill>
      <patternFill patternType="solid">
        <fgColor rgb="FFFFF3CD"/>
      </patternFill>
    </fill>
    <fill>
      <patternFill patternType="solid">
        <fgColor rgb="FFF8D7DA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B2A4A"/>
      </bottom>
      <diagonal/>
    </border>
    <border>
      <left/>
      <right/>
      <top/>
      <bottom style="thin">
        <color rgb="FFD0D0D0"/>
      </bottom>
      <diagonal/>
    </border>
    <border>
      <left/>
      <right/>
      <top/>
      <bottom/>
      <diagonal/>
    </border>
    <border>
      <left/>
      <right/>
      <top/>
      <bottom style="thin">
        <color rgb="FFD0D0D0"/>
      </bottom>
      <diagonal/>
    </border>
  </borders>
  <cellStyleXfs count="3">
    <xf numFmtId="0" fontId="0" fillId="0" borderId="0"/>
    <xf numFmtId="171" fontId="2" fillId="0" borderId="0"/>
    <xf numFmtId="9" fontId="1" fillId="0" borderId="0"/>
  </cellStyleXfs>
  <cellXfs count="8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7" fillId="4" borderId="1" xfId="0" applyFont="1" applyFill="1" applyBorder="1"/>
    <xf numFmtId="3" fontId="7" fillId="4" borderId="1" xfId="0" applyNumberFormat="1" applyFont="1" applyFill="1" applyBorder="1"/>
    <xf numFmtId="3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3" fontId="9" fillId="5" borderId="2" xfId="0" applyNumberFormat="1" applyFont="1" applyFill="1" applyBorder="1" applyAlignment="1">
      <alignment horizontal="center" vertical="center"/>
    </xf>
    <xf numFmtId="164" fontId="4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3" fontId="10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3" fontId="9" fillId="5" borderId="2" xfId="1" applyNumberFormat="1" applyFont="1" applyFill="1" applyBorder="1" applyAlignment="1">
      <alignment horizontal="center" vertical="center"/>
    </xf>
    <xf numFmtId="0" fontId="11" fillId="0" borderId="0" xfId="0" applyFont="1"/>
    <xf numFmtId="16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6" borderId="1" xfId="0" applyFont="1" applyFill="1" applyBorder="1"/>
    <xf numFmtId="167" fontId="13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/>
    <xf numFmtId="167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9" fontId="9" fillId="5" borderId="2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14" fillId="0" borderId="0" xfId="0" applyFont="1"/>
    <xf numFmtId="0" fontId="5" fillId="0" borderId="2" xfId="0" applyFont="1" applyBorder="1" applyAlignment="1">
      <alignment horizontal="center" vertical="center"/>
    </xf>
    <xf numFmtId="0" fontId="5" fillId="6" borderId="1" xfId="0" applyFont="1" applyFill="1" applyBorder="1"/>
    <xf numFmtId="164" fontId="15" fillId="0" borderId="2" xfId="0" applyNumberFormat="1" applyFont="1" applyBorder="1" applyAlignment="1">
      <alignment horizontal="center" vertical="center"/>
    </xf>
    <xf numFmtId="0" fontId="16" fillId="7" borderId="1" xfId="0" applyFont="1" applyFill="1" applyBorder="1"/>
    <xf numFmtId="164" fontId="17" fillId="7" borderId="1" xfId="0" applyNumberFormat="1" applyFont="1" applyFill="1" applyBorder="1"/>
    <xf numFmtId="0" fontId="14" fillId="7" borderId="1" xfId="0" applyFont="1" applyFill="1" applyBorder="1"/>
    <xf numFmtId="9" fontId="6" fillId="3" borderId="0" xfId="0" applyNumberFormat="1" applyFont="1" applyFill="1" applyAlignment="1">
      <alignment horizontal="center" vertical="center"/>
    </xf>
    <xf numFmtId="168" fontId="18" fillId="0" borderId="2" xfId="0" applyNumberFormat="1" applyFont="1" applyBorder="1" applyAlignment="1">
      <alignment horizontal="center" vertical="center"/>
    </xf>
    <xf numFmtId="168" fontId="18" fillId="8" borderId="2" xfId="0" applyNumberFormat="1" applyFont="1" applyFill="1" applyBorder="1" applyAlignment="1">
      <alignment horizontal="center" vertical="center"/>
    </xf>
    <xf numFmtId="0" fontId="7" fillId="0" borderId="0" xfId="0" applyFont="1"/>
    <xf numFmtId="3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2" xfId="0" applyFont="1" applyBorder="1"/>
    <xf numFmtId="3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169" fontId="18" fillId="0" borderId="2" xfId="0" applyNumberFormat="1" applyFont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18" fillId="6" borderId="1" xfId="0" applyFont="1" applyFill="1" applyBorder="1"/>
    <xf numFmtId="164" fontId="15" fillId="6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/>
    </xf>
    <xf numFmtId="0" fontId="21" fillId="0" borderId="0" xfId="0" applyFont="1"/>
    <xf numFmtId="2" fontId="8" fillId="0" borderId="2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2" fontId="10" fillId="0" borderId="2" xfId="0" applyNumberFormat="1" applyFont="1" applyBorder="1" applyAlignment="1">
      <alignment horizontal="center" vertical="center"/>
    </xf>
    <xf numFmtId="3" fontId="23" fillId="0" borderId="0" xfId="0" applyNumberFormat="1" applyFont="1"/>
    <xf numFmtId="10" fontId="10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22" fillId="6" borderId="1" xfId="0" applyNumberFormat="1" applyFont="1" applyFill="1" applyBorder="1" applyAlignment="1">
      <alignment horizontal="center" vertical="center"/>
    </xf>
    <xf numFmtId="9" fontId="1" fillId="0" borderId="2" xfId="2" applyBorder="1" applyAlignment="1">
      <alignment horizontal="center" vertical="center"/>
    </xf>
    <xf numFmtId="0" fontId="25" fillId="9" borderId="3" xfId="0" applyFont="1" applyFill="1" applyBorder="1"/>
    <xf numFmtId="0" fontId="24" fillId="9" borderId="3" xfId="0" applyFont="1" applyFill="1" applyBorder="1"/>
    <xf numFmtId="0" fontId="24" fillId="0" borderId="3" xfId="0" applyFont="1" applyBorder="1"/>
    <xf numFmtId="0" fontId="26" fillId="10" borderId="3" xfId="0" applyFont="1" applyFill="1" applyBorder="1"/>
    <xf numFmtId="9" fontId="26" fillId="10" borderId="3" xfId="0" applyNumberFormat="1" applyFont="1" applyFill="1" applyBorder="1" applyAlignment="1">
      <alignment horizontal="center" vertical="center"/>
    </xf>
    <xf numFmtId="9" fontId="27" fillId="11" borderId="4" xfId="0" applyNumberFormat="1" applyFont="1" applyFill="1" applyBorder="1" applyAlignment="1">
      <alignment horizontal="center" vertical="center"/>
    </xf>
    <xf numFmtId="168" fontId="28" fillId="12" borderId="4" xfId="0" applyNumberFormat="1" applyFont="1" applyFill="1" applyBorder="1" applyAlignment="1">
      <alignment horizontal="center" vertical="center"/>
    </xf>
    <xf numFmtId="168" fontId="29" fillId="13" borderId="4" xfId="0" applyNumberFormat="1" applyFont="1" applyFill="1" applyBorder="1" applyAlignment="1">
      <alignment horizontal="center" vertical="center"/>
    </xf>
    <xf numFmtId="168" fontId="28" fillId="14" borderId="4" xfId="0" applyNumberFormat="1" applyFont="1" applyFill="1" applyBorder="1" applyAlignment="1">
      <alignment horizontal="center" vertical="center"/>
    </xf>
    <xf numFmtId="0" fontId="30" fillId="0" borderId="3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F8D7DA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4EDDA"/>
      <rgbColor rgb="FFC6EFCE"/>
      <rgbColor rgb="FFFFF3CD"/>
      <rgbColor rgb="FFFDE8E8"/>
      <rgbColor rgb="FFF5F6FA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888888"/>
      <rgbColor rgb="FF1B2A4A"/>
      <rgbColor rgb="FF339966"/>
      <rgbColor rgb="FF003300"/>
      <rgbColor rgb="FF333300"/>
      <rgbColor rgb="FF993300"/>
      <rgbColor rgb="FF993366"/>
      <rgbColor rgb="FF2C3E6B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1" sqref="E11"/>
    </sheetView>
  </sheetViews>
  <sheetFormatPr baseColWidth="10" defaultColWidth="8.5" defaultRowHeight="17"/>
  <cols>
    <col min="1" max="1" width="34" style="4" customWidth="1"/>
    <col min="2" max="8" width="16" style="4" customWidth="1"/>
    <col min="9" max="9" width="14" style="4" customWidth="1"/>
    <col min="10" max="10" width="8.5" style="4" customWidth="1"/>
    <col min="11" max="16384" width="8.5" style="4"/>
  </cols>
  <sheetData>
    <row r="1" spans="1:15" ht="33.75" customHeight="1">
      <c r="A1" s="1" t="s">
        <v>38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</row>
    <row r="2" spans="1:15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4" customHeight="1">
      <c r="A3" s="5"/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3"/>
      <c r="I3" s="3"/>
      <c r="J3" s="3"/>
      <c r="K3" s="3"/>
      <c r="L3" s="3"/>
      <c r="M3" s="3"/>
      <c r="N3" s="3"/>
      <c r="O3" s="3"/>
    </row>
    <row r="4" spans="1:15" ht="21.75" customHeight="1">
      <c r="A4" s="6" t="s">
        <v>45</v>
      </c>
      <c r="B4" s="7"/>
      <c r="C4" s="7"/>
      <c r="D4" s="7"/>
      <c r="E4" s="7"/>
      <c r="F4" s="7"/>
      <c r="G4" s="7"/>
      <c r="H4" s="8"/>
      <c r="I4" s="3"/>
      <c r="J4" s="3"/>
      <c r="K4" s="3"/>
      <c r="L4" s="3"/>
      <c r="M4" s="3"/>
      <c r="N4" s="3"/>
      <c r="O4" s="3"/>
    </row>
    <row r="5" spans="1:15" ht="16.5" customHeight="1">
      <c r="A5" s="9" t="s">
        <v>46</v>
      </c>
      <c r="B5" s="10">
        <v>11500</v>
      </c>
      <c r="C5" s="10">
        <f>B5*(1+C6)</f>
        <v>12075</v>
      </c>
      <c r="D5" s="10">
        <f>C5*(1+D6)</f>
        <v>12678.75</v>
      </c>
      <c r="E5" s="10">
        <f>D5*(1+E6)</f>
        <v>13185.9</v>
      </c>
      <c r="F5" s="10">
        <f>E5*(1+F6)</f>
        <v>13713.335999999999</v>
      </c>
      <c r="G5" s="10">
        <f>F5*(1+G6)</f>
        <v>14261.86944</v>
      </c>
      <c r="H5" s="11"/>
      <c r="I5" s="3"/>
      <c r="J5" s="3"/>
      <c r="K5" s="3"/>
      <c r="L5" s="3"/>
      <c r="M5" s="3"/>
      <c r="N5" s="3"/>
      <c r="O5" s="3"/>
    </row>
    <row r="6" spans="1:15" ht="16.5" customHeight="1">
      <c r="A6" s="9" t="s">
        <v>47</v>
      </c>
      <c r="B6" s="12"/>
      <c r="C6" s="13">
        <v>0.05</v>
      </c>
      <c r="D6" s="13">
        <v>0.05</v>
      </c>
      <c r="E6" s="13">
        <v>0.04</v>
      </c>
      <c r="F6" s="13">
        <v>0.04</v>
      </c>
      <c r="G6" s="13">
        <v>0.04</v>
      </c>
      <c r="H6" s="11"/>
      <c r="I6" s="3"/>
      <c r="J6" s="3"/>
      <c r="K6" s="3"/>
      <c r="L6" s="3"/>
      <c r="M6" s="3"/>
      <c r="N6" s="3"/>
      <c r="O6" s="3"/>
    </row>
    <row r="7" spans="1:15" ht="16.5" customHeight="1">
      <c r="A7" s="9" t="s">
        <v>48</v>
      </c>
      <c r="B7" s="13">
        <v>0.22</v>
      </c>
      <c r="C7" s="13">
        <v>0.24</v>
      </c>
      <c r="D7" s="13">
        <v>0.27</v>
      </c>
      <c r="E7" s="13">
        <v>0.3</v>
      </c>
      <c r="F7" s="13">
        <v>0.31</v>
      </c>
      <c r="G7" s="13">
        <v>0.33</v>
      </c>
      <c r="H7" s="11"/>
      <c r="I7" s="3"/>
      <c r="J7" s="3"/>
      <c r="K7" s="3"/>
      <c r="L7" s="3"/>
      <c r="M7" s="3"/>
      <c r="N7" s="3"/>
      <c r="O7" s="3"/>
    </row>
    <row r="8" spans="1:15" ht="16.5" customHeight="1">
      <c r="A8" s="9" t="s">
        <v>49</v>
      </c>
      <c r="B8" s="13">
        <v>0.2</v>
      </c>
      <c r="C8" s="13">
        <v>0.22</v>
      </c>
      <c r="D8" s="13">
        <v>0.24</v>
      </c>
      <c r="E8" s="13">
        <v>0.25</v>
      </c>
      <c r="F8" s="13">
        <v>0.26</v>
      </c>
      <c r="G8" s="13">
        <v>0.27</v>
      </c>
      <c r="H8" s="14"/>
      <c r="I8" s="3"/>
      <c r="J8" s="3"/>
      <c r="K8" s="3"/>
      <c r="L8" s="3"/>
      <c r="M8" s="3"/>
      <c r="N8" s="3"/>
      <c r="O8" s="3"/>
    </row>
    <row r="9" spans="1:15" ht="16.5" customHeight="1">
      <c r="A9" s="9"/>
      <c r="B9" s="12"/>
      <c r="C9" s="15"/>
      <c r="D9" s="15"/>
      <c r="E9" s="15"/>
      <c r="F9" s="15"/>
      <c r="G9" s="15"/>
      <c r="H9" s="11"/>
      <c r="I9" s="3"/>
      <c r="J9" s="3"/>
      <c r="K9" s="3"/>
      <c r="L9" s="3"/>
      <c r="M9" s="3"/>
      <c r="N9" s="3"/>
      <c r="O9" s="3"/>
    </row>
    <row r="10" spans="1:15" ht="16.5" customHeight="1">
      <c r="A10" s="9" t="s">
        <v>50</v>
      </c>
      <c r="B10" s="13">
        <f>Beta!D34</f>
        <v>7.6054580526266582E-2</v>
      </c>
      <c r="C10" s="15"/>
      <c r="D10" s="15"/>
      <c r="E10" s="15"/>
      <c r="F10" s="15"/>
      <c r="G10" s="15"/>
      <c r="H10" s="3"/>
      <c r="I10" s="3"/>
      <c r="J10" s="3"/>
      <c r="K10" s="3"/>
      <c r="L10" s="3"/>
      <c r="M10" s="3"/>
      <c r="N10" s="3"/>
      <c r="O10" s="3"/>
    </row>
    <row r="11" spans="1:15" ht="16.5" customHeight="1">
      <c r="A11" s="9" t="s">
        <v>51</v>
      </c>
      <c r="B11" s="13">
        <v>0.08</v>
      </c>
      <c r="C11" s="15"/>
      <c r="D11" s="15"/>
      <c r="E11" s="15"/>
      <c r="F11" s="15"/>
      <c r="G11" s="15"/>
      <c r="H11" s="3"/>
      <c r="I11" s="3"/>
      <c r="J11" s="3"/>
      <c r="K11" s="3"/>
      <c r="L11" s="3"/>
      <c r="M11" s="3"/>
      <c r="N11" s="3"/>
      <c r="O11" s="3"/>
    </row>
    <row r="12" spans="1:15" ht="16.5" customHeight="1">
      <c r="A12" s="9" t="s">
        <v>52</v>
      </c>
      <c r="B12" s="13">
        <v>0.04</v>
      </c>
      <c r="C12" s="16"/>
      <c r="D12" s="16"/>
      <c r="E12" s="16"/>
      <c r="F12" s="16"/>
      <c r="G12" s="16"/>
      <c r="H12" s="8"/>
      <c r="I12" s="3"/>
      <c r="J12" s="3"/>
      <c r="K12" s="3"/>
      <c r="L12" s="3"/>
      <c r="M12" s="3"/>
      <c r="N12" s="3"/>
      <c r="O12" s="3"/>
    </row>
    <row r="13" spans="1:15" ht="16.5" customHeight="1">
      <c r="A13" s="3"/>
      <c r="B13" s="3"/>
      <c r="C13" s="8"/>
      <c r="D13" s="8"/>
      <c r="E13" s="8"/>
      <c r="F13" s="8"/>
      <c r="G13" s="8"/>
      <c r="H13" s="8"/>
      <c r="I13" s="3"/>
      <c r="J13" s="3"/>
      <c r="K13" s="3"/>
      <c r="L13" s="3"/>
      <c r="M13" s="3"/>
      <c r="N13" s="3"/>
      <c r="O13" s="3"/>
    </row>
    <row r="14" spans="1:15" ht="21.75" customHeight="1">
      <c r="A14" s="6" t="s">
        <v>53</v>
      </c>
      <c r="B14" s="6"/>
      <c r="C14" s="7"/>
      <c r="D14" s="7"/>
      <c r="E14" s="7"/>
      <c r="F14" s="7"/>
      <c r="G14" s="7"/>
      <c r="H14" s="8"/>
      <c r="I14" s="3"/>
      <c r="J14" s="3"/>
      <c r="K14" s="3"/>
      <c r="L14" s="3"/>
      <c r="M14" s="3"/>
      <c r="N14" s="3"/>
      <c r="O14" s="3"/>
    </row>
    <row r="15" spans="1:15" ht="16.5" customHeight="1">
      <c r="A15" s="17" t="s">
        <v>54</v>
      </c>
      <c r="B15" s="18">
        <f t="shared" ref="B15:G15" si="0">B5*B7</f>
        <v>2530</v>
      </c>
      <c r="C15" s="18">
        <f t="shared" si="0"/>
        <v>2898</v>
      </c>
      <c r="D15" s="18">
        <f t="shared" si="0"/>
        <v>3423.2625000000003</v>
      </c>
      <c r="E15" s="18">
        <f t="shared" si="0"/>
        <v>3955.7699999999995</v>
      </c>
      <c r="F15" s="18">
        <f t="shared" si="0"/>
        <v>4251.1341599999996</v>
      </c>
      <c r="G15" s="18">
        <f t="shared" si="0"/>
        <v>4706.4169152000004</v>
      </c>
      <c r="H15" s="8"/>
      <c r="I15" s="3"/>
      <c r="J15" s="3"/>
      <c r="K15" s="3"/>
      <c r="L15" s="3"/>
      <c r="M15" s="3"/>
      <c r="N15" s="3"/>
      <c r="O15" s="3"/>
    </row>
    <row r="16" spans="1:15" ht="16.5" customHeight="1">
      <c r="A16" s="17" t="s">
        <v>55</v>
      </c>
      <c r="B16" s="18">
        <f t="shared" ref="B16:G16" si="1">B15*B8</f>
        <v>506</v>
      </c>
      <c r="C16" s="18">
        <f t="shared" si="1"/>
        <v>637.56000000000006</v>
      </c>
      <c r="D16" s="18">
        <f t="shared" si="1"/>
        <v>821.58300000000008</v>
      </c>
      <c r="E16" s="18">
        <f t="shared" si="1"/>
        <v>988.94249999999988</v>
      </c>
      <c r="F16" s="18">
        <f t="shared" si="1"/>
        <v>1105.2948815999998</v>
      </c>
      <c r="G16" s="18">
        <f t="shared" si="1"/>
        <v>1270.7325671040003</v>
      </c>
      <c r="H16" s="8"/>
      <c r="I16" s="3"/>
      <c r="J16" s="3"/>
      <c r="K16" s="3"/>
      <c r="L16" s="3"/>
      <c r="M16" s="3"/>
      <c r="N16" s="3"/>
      <c r="O16" s="3"/>
    </row>
    <row r="17" spans="1:15" ht="16.5" customHeight="1">
      <c r="A17" s="17" t="s">
        <v>56</v>
      </c>
      <c r="B17" s="18">
        <f t="shared" ref="B17:G17" si="2">B15-B16</f>
        <v>2024</v>
      </c>
      <c r="C17" s="18">
        <f t="shared" si="2"/>
        <v>2260.44</v>
      </c>
      <c r="D17" s="18">
        <f t="shared" si="2"/>
        <v>2601.6795000000002</v>
      </c>
      <c r="E17" s="18">
        <f t="shared" si="2"/>
        <v>2966.8274999999994</v>
      </c>
      <c r="F17" s="18">
        <f t="shared" si="2"/>
        <v>3145.8392783999998</v>
      </c>
      <c r="G17" s="18">
        <f t="shared" si="2"/>
        <v>3435.6843480960001</v>
      </c>
      <c r="H17" s="3"/>
      <c r="I17" s="3"/>
      <c r="J17" s="3"/>
      <c r="K17" s="3"/>
      <c r="L17" s="3"/>
      <c r="M17" s="3"/>
      <c r="N17" s="3"/>
      <c r="O17" s="3"/>
    </row>
    <row r="18" spans="1:15" ht="16.5" customHeight="1">
      <c r="A18" s="17" t="s">
        <v>57</v>
      </c>
      <c r="B18" s="18"/>
      <c r="C18" s="18">
        <v>600</v>
      </c>
      <c r="D18" s="18">
        <v>500</v>
      </c>
      <c r="E18" s="18">
        <v>500</v>
      </c>
      <c r="F18" s="18">
        <v>400</v>
      </c>
      <c r="G18" s="18">
        <v>400</v>
      </c>
      <c r="H18" s="3"/>
      <c r="I18" s="3"/>
      <c r="J18" s="3"/>
      <c r="K18" s="3"/>
      <c r="L18" s="3"/>
      <c r="M18" s="3"/>
      <c r="N18" s="3"/>
      <c r="O18" s="3"/>
    </row>
    <row r="19" spans="1:15" ht="16.5" customHeight="1">
      <c r="A19" s="17" t="s">
        <v>58</v>
      </c>
      <c r="B19" s="18"/>
      <c r="C19" s="18">
        <f>C17-C18</f>
        <v>1660.44</v>
      </c>
      <c r="D19" s="18">
        <f>D17-D18</f>
        <v>2101.6795000000002</v>
      </c>
      <c r="E19" s="18">
        <f>E17-E18</f>
        <v>2466.8274999999994</v>
      </c>
      <c r="F19" s="18">
        <f>F17-F18</f>
        <v>2745.8392783999998</v>
      </c>
      <c r="G19" s="18">
        <f>G17-G18</f>
        <v>3035.6843480960001</v>
      </c>
      <c r="H19" s="3"/>
      <c r="I19" s="3"/>
      <c r="J19" s="3"/>
      <c r="K19" s="3"/>
      <c r="L19" s="3"/>
      <c r="M19" s="3"/>
      <c r="N19" s="3"/>
      <c r="O19" s="3"/>
    </row>
    <row r="20" spans="1:15" ht="16.5" customHeight="1">
      <c r="A20" s="17" t="s">
        <v>59</v>
      </c>
      <c r="B20" s="19"/>
      <c r="C20" s="19">
        <f>1/(1+$B$10)^1</f>
        <v>0.9293208895694951</v>
      </c>
      <c r="D20" s="19">
        <f>1/(1+$B$10)^2</f>
        <v>0.86363731579023761</v>
      </c>
      <c r="E20" s="19">
        <f>1/(1+$B$10)^3</f>
        <v>0.80259619857559439</v>
      </c>
      <c r="F20" s="19">
        <f>1/(1+$B$10)^4</f>
        <v>0.7458694132253666</v>
      </c>
      <c r="G20" s="19">
        <f>1/(1+$B$10)^5</f>
        <v>0.69315202660127495</v>
      </c>
      <c r="H20" s="3"/>
      <c r="I20" s="3"/>
      <c r="J20" s="3"/>
      <c r="K20" s="3"/>
      <c r="L20" s="3"/>
      <c r="M20" s="3"/>
      <c r="N20" s="3"/>
      <c r="O20" s="3"/>
    </row>
    <row r="21" spans="1:15" ht="16.5" customHeight="1">
      <c r="A21" s="17" t="s">
        <v>60</v>
      </c>
      <c r="B21" s="18"/>
      <c r="C21" s="18">
        <f>C19*C20</f>
        <v>1543.0815778767726</v>
      </c>
      <c r="D21" s="18">
        <f>D19*D20</f>
        <v>1815.0888420313688</v>
      </c>
      <c r="E21" s="18">
        <f>E19*E20</f>
        <v>1979.8663740417367</v>
      </c>
      <c r="F21" s="18">
        <f>F19*F20</f>
        <v>2048.0375313913719</v>
      </c>
      <c r="G21" s="18">
        <f>G19*G20</f>
        <v>2104.1907580045126</v>
      </c>
      <c r="H21" s="3"/>
      <c r="I21" s="3"/>
      <c r="J21" s="3"/>
      <c r="K21" s="3"/>
      <c r="L21" s="3"/>
      <c r="M21" s="3"/>
      <c r="N21" s="3"/>
      <c r="O21" s="3"/>
    </row>
    <row r="22" spans="1:15" ht="16.5" customHeight="1">
      <c r="A22" s="3"/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1.75" customHeight="1">
      <c r="A23" s="6" t="s">
        <v>61</v>
      </c>
      <c r="B23" s="7"/>
      <c r="C23" s="6"/>
      <c r="D23" s="6"/>
      <c r="E23" s="6"/>
      <c r="F23" s="6"/>
      <c r="G23" s="6"/>
      <c r="H23" s="3"/>
      <c r="I23" s="3"/>
      <c r="J23" s="3"/>
      <c r="K23" s="3"/>
      <c r="L23" s="3"/>
      <c r="M23" s="3"/>
      <c r="N23" s="3"/>
      <c r="O23" s="3"/>
    </row>
    <row r="24" spans="1:15" ht="16.5" customHeight="1">
      <c r="A24" s="17" t="s">
        <v>62</v>
      </c>
      <c r="B24" s="18">
        <f>G19*(1+$B$12)/($B$11-$B$12)</f>
        <v>78927.79305049601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6.5" customHeight="1">
      <c r="A25" s="17" t="s">
        <v>63</v>
      </c>
      <c r="B25" s="18">
        <f>B24*G20</f>
        <v>54708.959708117334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6.5" customHeight="1">
      <c r="A26" s="17" t="s">
        <v>64</v>
      </c>
      <c r="B26" s="18">
        <f>SUM(C21:G21)</f>
        <v>9490.2650833457628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6.5" customHeight="1">
      <c r="A27" s="17" t="s">
        <v>65</v>
      </c>
      <c r="B27" s="18">
        <f>B25+B26</f>
        <v>64199.224791463101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6.5" customHeight="1">
      <c r="A28" s="17"/>
      <c r="B28" s="1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1.75" customHeight="1">
      <c r="A29" s="6" t="s">
        <v>66</v>
      </c>
      <c r="B29" s="20"/>
      <c r="C29" s="6"/>
      <c r="D29" s="6"/>
      <c r="E29" s="6"/>
      <c r="F29" s="6"/>
      <c r="G29" s="6"/>
      <c r="H29" s="3"/>
      <c r="I29" s="3"/>
      <c r="J29" s="3"/>
      <c r="K29" s="3"/>
      <c r="L29" s="3"/>
      <c r="M29" s="3"/>
      <c r="N29" s="3"/>
      <c r="O29" s="3"/>
    </row>
    <row r="30" spans="1:15" ht="16.5" customHeight="1">
      <c r="A30" s="17" t="s">
        <v>67</v>
      </c>
      <c r="B30" s="21">
        <v>9000</v>
      </c>
      <c r="C30" s="22" t="s">
        <v>68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6.5" customHeight="1">
      <c r="A31" s="17" t="s">
        <v>69</v>
      </c>
      <c r="B31" s="10">
        <v>22300</v>
      </c>
      <c r="C31" s="22" t="s">
        <v>70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6.5" customHeight="1">
      <c r="A32" s="17" t="s">
        <v>71</v>
      </c>
      <c r="B32" s="10">
        <v>891</v>
      </c>
      <c r="C32" s="2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6.5" customHeight="1">
      <c r="A33" s="17"/>
      <c r="B33" s="2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6.5" customHeight="1">
      <c r="A34" s="17" t="s">
        <v>72</v>
      </c>
      <c r="B34" s="18">
        <f>B27+B30-B31-B32</f>
        <v>50008.224791463101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6.5" customHeight="1">
      <c r="A35" s="17" t="s">
        <v>73</v>
      </c>
      <c r="B35" s="24">
        <v>279.89999999999998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5" customHeight="1">
      <c r="A36" s="25" t="s">
        <v>74</v>
      </c>
      <c r="B36" s="26">
        <f>B34/B35</f>
        <v>178.66461161651699</v>
      </c>
      <c r="C36" s="27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6.5" customHeight="1">
      <c r="A37" s="17" t="s">
        <v>75</v>
      </c>
      <c r="B37" s="28">
        <v>76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6.5" customHeight="1">
      <c r="A38" s="17" t="s">
        <v>76</v>
      </c>
      <c r="B38" s="29">
        <f>B36/B37-1</f>
        <v>1.3508501528489076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6.5" customHeight="1">
      <c r="A39" s="17"/>
      <c r="B39" s="2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6.5" customHeight="1">
      <c r="A40" s="17" t="s">
        <v>77</v>
      </c>
      <c r="B40" s="29">
        <f>B25/B27</f>
        <v>0.85217477135942399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6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21.75" customHeight="1">
      <c r="A42" s="6" t="s">
        <v>78</v>
      </c>
      <c r="B42" s="6"/>
      <c r="C42" s="6"/>
      <c r="D42" s="6"/>
      <c r="E42" s="6"/>
      <c r="F42" s="6"/>
      <c r="G42" s="6"/>
      <c r="H42" s="3"/>
      <c r="I42" s="3"/>
      <c r="J42" s="3"/>
      <c r="K42" s="3"/>
      <c r="L42" s="3"/>
      <c r="M42" s="3"/>
      <c r="N42" s="3"/>
      <c r="O42" s="3"/>
    </row>
    <row r="43" spans="1:15" ht="16.5" customHeight="1">
      <c r="A43" s="22" t="s">
        <v>79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6.5" customHeight="1">
      <c r="A44" s="22" t="s">
        <v>80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6.5" customHeight="1">
      <c r="A45" s="22" t="s">
        <v>81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6.5" customHeight="1">
      <c r="A46" s="22" t="s">
        <v>82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6.5" customHeight="1">
      <c r="A47" s="22" t="s">
        <v>83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6.5" customHeight="1">
      <c r="A48" s="22" t="s">
        <v>84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6.5" customHeight="1">
      <c r="A49" s="2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21.75" customHeight="1">
      <c r="A51" s="6" t="s">
        <v>85</v>
      </c>
      <c r="B51" s="6"/>
      <c r="C51" s="6"/>
      <c r="D51" s="6"/>
      <c r="E51" s="6"/>
      <c r="F51" s="6"/>
      <c r="G51" s="6"/>
      <c r="H51" s="3"/>
      <c r="I51" s="3"/>
      <c r="J51" s="3"/>
      <c r="K51" s="3"/>
      <c r="L51" s="3"/>
      <c r="M51" s="3"/>
      <c r="N51" s="3"/>
      <c r="O51" s="3"/>
    </row>
    <row r="52" spans="1:15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6.5" customHeight="1">
      <c r="A53" s="17" t="s">
        <v>86</v>
      </c>
      <c r="B53" s="10">
        <v>20000</v>
      </c>
      <c r="C53" s="22" t="s">
        <v>87</v>
      </c>
    </row>
    <row r="54" spans="1:15" ht="16.5" customHeight="1">
      <c r="A54" s="17" t="s">
        <v>88</v>
      </c>
      <c r="B54" s="70">
        <v>0.2</v>
      </c>
      <c r="C54" s="22"/>
    </row>
    <row r="55" spans="1:15" ht="16.5" customHeight="1">
      <c r="A55" s="17" t="s">
        <v>89</v>
      </c>
      <c r="B55" s="16">
        <f>B53*B54</f>
        <v>4000</v>
      </c>
      <c r="C55" s="22"/>
    </row>
    <row r="56" spans="1:15" ht="16.5" customHeight="1">
      <c r="A56" s="17" t="s">
        <v>90</v>
      </c>
      <c r="B56" s="16">
        <f>B55/B35</f>
        <v>14.290818149339051</v>
      </c>
      <c r="C56" s="22"/>
    </row>
    <row r="58" spans="1:15" ht="21.75" customHeight="1">
      <c r="A58" s="6" t="s">
        <v>91</v>
      </c>
      <c r="B58" s="6"/>
      <c r="C58" s="6"/>
      <c r="D58" s="6"/>
      <c r="E58" s="6"/>
      <c r="F58" s="6"/>
      <c r="G58" s="6"/>
    </row>
    <row r="59" spans="1:15" ht="16.5" customHeight="1">
      <c r="A59" s="17" t="s">
        <v>92</v>
      </c>
      <c r="B59" s="30">
        <v>0.15</v>
      </c>
    </row>
    <row r="60" spans="1:15" ht="16.5" customHeight="1">
      <c r="A60" s="17" t="s">
        <v>93</v>
      </c>
      <c r="B60" s="31">
        <f>B36</f>
        <v>178.66461161651699</v>
      </c>
      <c r="C60" s="32"/>
    </row>
    <row r="61" spans="1:15" ht="16.5" customHeight="1">
      <c r="A61" s="17" t="s">
        <v>94</v>
      </c>
      <c r="B61" s="31">
        <f>B56</f>
        <v>14.290818149339051</v>
      </c>
      <c r="C61" s="22"/>
    </row>
    <row r="62" spans="1:15">
      <c r="A62" s="17"/>
      <c r="B62" s="33"/>
    </row>
    <row r="63" spans="1:15" ht="16.5" customHeight="1">
      <c r="A63" s="25" t="s">
        <v>95</v>
      </c>
      <c r="B63" s="26">
        <f>(1-B59)*B60+B59*B61</f>
        <v>154.00854259644029</v>
      </c>
      <c r="C63" s="34"/>
    </row>
    <row r="64" spans="1:15" ht="16.5" customHeight="1">
      <c r="A64" s="17" t="s">
        <v>75</v>
      </c>
      <c r="B64" s="31">
        <f>B37</f>
        <v>76</v>
      </c>
    </row>
    <row r="65" spans="1:9" ht="16.5" customHeight="1">
      <c r="A65" s="17" t="s">
        <v>76</v>
      </c>
      <c r="B65" s="35">
        <f>B63/B64-1</f>
        <v>1.0264281920584248</v>
      </c>
    </row>
    <row r="67" spans="1:9" ht="16.5" customHeight="1">
      <c r="A67" s="36" t="s">
        <v>96</v>
      </c>
      <c r="B67" s="37">
        <f>(B60-B64)/(B60-B61)</f>
        <v>0.62458016847446551</v>
      </c>
      <c r="C67" s="38"/>
    </row>
    <row r="69" spans="1:9" ht="21.75" customHeight="1">
      <c r="A69" s="6" t="s">
        <v>97</v>
      </c>
      <c r="B69" s="6"/>
      <c r="C69" s="6"/>
      <c r="D69" s="6"/>
      <c r="E69" s="6"/>
      <c r="F69" s="6"/>
      <c r="G69" s="6"/>
      <c r="H69" s="6"/>
      <c r="I69" s="6"/>
    </row>
    <row r="70" spans="1:9" ht="16.5" customHeight="1">
      <c r="A70" s="5" t="s">
        <v>92</v>
      </c>
      <c r="B70" s="39">
        <v>0.05</v>
      </c>
      <c r="C70" s="39">
        <v>0.1</v>
      </c>
      <c r="D70" s="39">
        <v>0.15</v>
      </c>
      <c r="E70" s="39">
        <v>0.2</v>
      </c>
      <c r="F70" s="39">
        <v>0.25</v>
      </c>
      <c r="G70" s="39">
        <v>0.3</v>
      </c>
      <c r="H70" s="39">
        <v>0.35</v>
      </c>
      <c r="I70" s="5"/>
    </row>
    <row r="71" spans="1:9" ht="16.5" customHeight="1">
      <c r="A71" s="40" t="s">
        <v>74</v>
      </c>
      <c r="B71" s="40">
        <f>(1-B70)*B60+B70*B61</f>
        <v>170.44592194315808</v>
      </c>
      <c r="C71" s="41">
        <f>(1-C70)*B60+C70*B61</f>
        <v>162.2272322697992</v>
      </c>
      <c r="D71" s="40">
        <f>(1-D70)*B60+D70*B61</f>
        <v>154.00854259644029</v>
      </c>
      <c r="E71" s="40">
        <f>(1-E70)*B60+E70*B61</f>
        <v>145.78985292308141</v>
      </c>
      <c r="F71" s="40">
        <f>(1-F70)*B60+F70*B61</f>
        <v>137.5711632497225</v>
      </c>
      <c r="G71" s="40">
        <f>(1-G70)*B60+G70*B61</f>
        <v>129.35247357636359</v>
      </c>
      <c r="H71" s="40">
        <f>(1-H70)*B60+H70*B61</f>
        <v>121.13378390300471</v>
      </c>
      <c r="I71" s="40">
        <f>(1-I70)*B60+I70*B61</f>
        <v>178.66461161651699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zoomScaleNormal="100" workbookViewId="0">
      <pane xSplit="1" ySplit="1" topLeftCell="B37" activePane="bottomRight" state="frozen"/>
      <selection pane="topRight" activeCell="B1" sqref="B1"/>
      <selection pane="bottomLeft" activeCell="A2" sqref="A2"/>
      <selection pane="bottomRight" activeCell="G55" sqref="G55"/>
    </sheetView>
  </sheetViews>
  <sheetFormatPr baseColWidth="10" defaultColWidth="8.5" defaultRowHeight="17"/>
  <cols>
    <col min="1" max="1" width="44" style="4" customWidth="1"/>
    <col min="2" max="2" width="14" style="4" customWidth="1"/>
    <col min="3" max="3" width="12" style="4" customWidth="1"/>
    <col min="4" max="4" width="10" style="4" customWidth="1"/>
    <col min="5" max="5" width="44" style="4" customWidth="1"/>
    <col min="6" max="7" width="14" style="4" customWidth="1"/>
    <col min="8" max="8" width="8.5" style="4" customWidth="1"/>
    <col min="9" max="16384" width="8.5" style="4"/>
  </cols>
  <sheetData>
    <row r="1" spans="1:7" ht="31.5" customHeight="1">
      <c r="A1" s="2" t="s">
        <v>98</v>
      </c>
      <c r="B1" s="2"/>
      <c r="C1" s="2"/>
      <c r="D1" s="2"/>
      <c r="E1" s="2"/>
      <c r="F1" s="2"/>
      <c r="G1" s="2"/>
    </row>
    <row r="3" spans="1:7" ht="16.5" customHeight="1">
      <c r="A3" s="42" t="s">
        <v>99</v>
      </c>
    </row>
    <row r="4" spans="1:7" ht="16.5" customHeight="1">
      <c r="A4" s="5"/>
      <c r="B4" s="5" t="s">
        <v>100</v>
      </c>
      <c r="C4" s="5" t="s">
        <v>101</v>
      </c>
      <c r="D4" s="5" t="s">
        <v>102</v>
      </c>
      <c r="E4" s="5" t="s">
        <v>103</v>
      </c>
    </row>
    <row r="5" spans="1:7" ht="18.75" customHeight="1">
      <c r="A5" s="17" t="s">
        <v>104</v>
      </c>
      <c r="B5" s="43">
        <v>7706</v>
      </c>
      <c r="C5" s="44"/>
      <c r="D5" s="45"/>
      <c r="E5" s="22"/>
    </row>
    <row r="6" spans="1:7" ht="18.75" customHeight="1">
      <c r="A6" s="17" t="s">
        <v>105</v>
      </c>
      <c r="B6" s="43">
        <v>1755</v>
      </c>
      <c r="C6" s="44">
        <f>B6/B5</f>
        <v>0.22774461458603684</v>
      </c>
      <c r="D6" s="45"/>
      <c r="E6" s="22"/>
    </row>
    <row r="7" spans="1:7" ht="16.5" customHeight="1">
      <c r="A7" s="17"/>
      <c r="B7" s="33"/>
      <c r="C7" s="44"/>
      <c r="D7" s="45"/>
      <c r="E7" s="22"/>
    </row>
    <row r="8" spans="1:7" ht="16.5" customHeight="1">
      <c r="A8" s="17" t="s">
        <v>106</v>
      </c>
      <c r="B8" s="43">
        <v>1367</v>
      </c>
      <c r="C8" s="44">
        <f>B8/B5</f>
        <v>0.1773942382559045</v>
      </c>
      <c r="D8" s="45" t="s">
        <v>107</v>
      </c>
      <c r="E8" s="22" t="s">
        <v>108</v>
      </c>
    </row>
    <row r="9" spans="1:7" ht="16.5" customHeight="1">
      <c r="A9" s="17" t="s">
        <v>109</v>
      </c>
      <c r="B9" s="43">
        <v>450</v>
      </c>
      <c r="C9" s="44">
        <f>B9/B5</f>
        <v>5.8396055022060731E-2</v>
      </c>
      <c r="D9" s="45" t="s">
        <v>107</v>
      </c>
      <c r="E9" s="22" t="s">
        <v>110</v>
      </c>
    </row>
    <row r="10" spans="1:7" ht="16.5" customHeight="1">
      <c r="A10" s="17" t="s">
        <v>111</v>
      </c>
      <c r="B10" s="43">
        <v>380</v>
      </c>
      <c r="C10" s="44">
        <f>B10/B5</f>
        <v>4.9312224240851285E-2</v>
      </c>
      <c r="D10" s="45" t="s">
        <v>112</v>
      </c>
      <c r="E10" s="22" t="s">
        <v>113</v>
      </c>
    </row>
    <row r="11" spans="1:7" ht="16.5" customHeight="1">
      <c r="A11" s="17" t="s">
        <v>114</v>
      </c>
      <c r="B11" s="43">
        <v>75</v>
      </c>
      <c r="C11" s="44">
        <f>B11/B5</f>
        <v>9.7326758370101223E-3</v>
      </c>
      <c r="D11" s="45" t="s">
        <v>107</v>
      </c>
      <c r="E11" s="22" t="s">
        <v>115</v>
      </c>
    </row>
    <row r="12" spans="1:7" ht="18.75" customHeight="1">
      <c r="A12" s="17" t="s">
        <v>116</v>
      </c>
      <c r="B12" s="43">
        <v>462</v>
      </c>
      <c r="C12" s="44">
        <f>B12/B5</f>
        <v>5.9953283155982348E-2</v>
      </c>
      <c r="D12" s="45" t="s">
        <v>112</v>
      </c>
      <c r="E12" s="22" t="s">
        <v>117</v>
      </c>
    </row>
    <row r="13" spans="1:7" ht="18.75" customHeight="1">
      <c r="A13" s="17" t="s">
        <v>118</v>
      </c>
      <c r="B13" s="43">
        <v>332</v>
      </c>
      <c r="C13" s="44">
        <f>B13/B5</f>
        <v>4.3083311705164808E-2</v>
      </c>
      <c r="D13" s="45" t="s">
        <v>112</v>
      </c>
      <c r="E13" s="22" t="s">
        <v>119</v>
      </c>
    </row>
    <row r="14" spans="1:7" ht="16.5" customHeight="1">
      <c r="A14" s="17" t="s">
        <v>120</v>
      </c>
      <c r="B14" s="43">
        <v>406</v>
      </c>
      <c r="C14" s="44">
        <f>B14/B5</f>
        <v>5.2686218531014795E-2</v>
      </c>
      <c r="D14" s="45" t="s">
        <v>112</v>
      </c>
      <c r="E14" s="22" t="s">
        <v>119</v>
      </c>
    </row>
    <row r="15" spans="1:7" ht="18.75" customHeight="1">
      <c r="A15" s="17" t="s">
        <v>121</v>
      </c>
      <c r="B15" s="43">
        <v>33</v>
      </c>
      <c r="C15" s="44">
        <f>B15/B5</f>
        <v>4.2823773682844537E-3</v>
      </c>
      <c r="D15" s="45" t="s">
        <v>112</v>
      </c>
      <c r="E15" s="22" t="s">
        <v>122</v>
      </c>
    </row>
    <row r="16" spans="1:7" ht="16.5" customHeight="1">
      <c r="A16" s="17" t="s">
        <v>123</v>
      </c>
      <c r="B16" s="43">
        <v>39</v>
      </c>
      <c r="C16" s="44">
        <f>B16/B5</f>
        <v>5.0609914352452634E-3</v>
      </c>
      <c r="D16" s="45" t="s">
        <v>112</v>
      </c>
      <c r="E16" s="22" t="s">
        <v>124</v>
      </c>
    </row>
    <row r="17" spans="1:5" ht="16.5" customHeight="1">
      <c r="A17" s="17" t="s">
        <v>125</v>
      </c>
      <c r="B17" s="43">
        <v>19</v>
      </c>
      <c r="C17" s="44">
        <f>B17/B5</f>
        <v>2.4656112120425644E-3</v>
      </c>
      <c r="D17" s="45" t="s">
        <v>112</v>
      </c>
      <c r="E17" s="22" t="s">
        <v>122</v>
      </c>
    </row>
    <row r="18" spans="1:5" ht="18.75" customHeight="1">
      <c r="A18" s="17" t="s">
        <v>126</v>
      </c>
      <c r="B18" s="43">
        <v>51</v>
      </c>
      <c r="C18" s="44">
        <f>B18/B5</f>
        <v>6.6182195691668827E-3</v>
      </c>
      <c r="D18" s="45" t="s">
        <v>112</v>
      </c>
      <c r="E18" s="22" t="s">
        <v>127</v>
      </c>
    </row>
    <row r="19" spans="1:5">
      <c r="A19" s="17"/>
      <c r="B19" s="33"/>
      <c r="C19" s="44"/>
      <c r="D19" s="45"/>
      <c r="E19" s="22"/>
    </row>
    <row r="20" spans="1:5" ht="16.5" customHeight="1">
      <c r="A20" s="46" t="s">
        <v>128</v>
      </c>
      <c r="B20" s="47">
        <f>B8+B14+B15+B16+B17+B18+B19</f>
        <v>1915</v>
      </c>
      <c r="C20" s="44">
        <f>B20/B5</f>
        <v>0.24850765637165845</v>
      </c>
      <c r="D20" s="45"/>
      <c r="E20" s="22"/>
    </row>
    <row r="21" spans="1:5" ht="18.75" customHeight="1">
      <c r="A21" s="46" t="s">
        <v>129</v>
      </c>
      <c r="B21" s="47">
        <f>B11+B12+B14+B15+B16+B17+B18+B19</f>
        <v>1085</v>
      </c>
      <c r="C21" s="44">
        <f>B21/B5</f>
        <v>0.14079937710874643</v>
      </c>
      <c r="D21" s="45"/>
      <c r="E21" s="22"/>
    </row>
    <row r="22" spans="1:5" ht="18.75" customHeight="1">
      <c r="A22" s="46" t="s">
        <v>130</v>
      </c>
      <c r="B22" s="47">
        <f>B20-B21</f>
        <v>830</v>
      </c>
      <c r="C22" s="44">
        <f>B22/B5</f>
        <v>0.10770827926291202</v>
      </c>
      <c r="D22" s="45"/>
      <c r="E22" s="22"/>
    </row>
    <row r="23" spans="1:5">
      <c r="A23" s="17"/>
      <c r="B23" s="33"/>
      <c r="C23" s="44"/>
      <c r="D23" s="45"/>
      <c r="E23" s="22"/>
    </row>
    <row r="24" spans="1:5" ht="16.5" customHeight="1">
      <c r="A24" s="46" t="s">
        <v>131</v>
      </c>
      <c r="B24" s="47">
        <v>4116</v>
      </c>
      <c r="C24" s="44"/>
      <c r="D24" s="45"/>
      <c r="E24" s="22"/>
    </row>
    <row r="25" spans="1:5" ht="18.75" customHeight="1">
      <c r="A25" s="46" t="s">
        <v>132</v>
      </c>
      <c r="B25" s="48">
        <v>0.442</v>
      </c>
      <c r="C25" s="44"/>
      <c r="D25" s="45"/>
      <c r="E25" s="22"/>
    </row>
    <row r="28" spans="1:5" ht="24" customHeight="1">
      <c r="A28" s="6" t="s">
        <v>133</v>
      </c>
      <c r="B28" s="6"/>
      <c r="C28" s="6"/>
      <c r="D28" s="6"/>
      <c r="E28" s="6"/>
    </row>
    <row r="29" spans="1:5" ht="16.5" customHeight="1">
      <c r="A29" s="5"/>
      <c r="B29" s="5" t="s">
        <v>100</v>
      </c>
      <c r="C29" s="5" t="s">
        <v>101</v>
      </c>
      <c r="D29" s="5" t="s">
        <v>102</v>
      </c>
      <c r="E29" s="5" t="s">
        <v>103</v>
      </c>
    </row>
    <row r="30" spans="1:5" ht="18.75" customHeight="1">
      <c r="A30" s="17" t="s">
        <v>134</v>
      </c>
      <c r="B30" s="49">
        <v>11500</v>
      </c>
      <c r="C30" s="44"/>
      <c r="E30" s="22"/>
    </row>
    <row r="31" spans="1:5">
      <c r="A31" s="17"/>
      <c r="B31" s="33"/>
      <c r="C31" s="44"/>
      <c r="E31" s="22"/>
    </row>
    <row r="32" spans="1:5" ht="18.75" customHeight="1">
      <c r="A32" s="17" t="s">
        <v>135</v>
      </c>
      <c r="B32" s="43">
        <f>B30*0.44</f>
        <v>5060</v>
      </c>
      <c r="C32" s="44">
        <v>0.44</v>
      </c>
      <c r="E32" s="22"/>
    </row>
    <row r="33" spans="1:5">
      <c r="A33" s="17"/>
      <c r="B33" s="33"/>
      <c r="C33" s="44"/>
      <c r="E33" s="22"/>
    </row>
    <row r="34" spans="1:5" ht="16.5" customHeight="1">
      <c r="A34" s="50" t="s">
        <v>136</v>
      </c>
      <c r="B34" s="33"/>
      <c r="C34" s="44"/>
      <c r="E34" s="22"/>
    </row>
    <row r="35" spans="1:5" ht="18.75" customHeight="1">
      <c r="A35" s="17" t="s">
        <v>137</v>
      </c>
      <c r="B35" s="43">
        <v>-550</v>
      </c>
      <c r="C35" s="44">
        <f>B35/B30</f>
        <v>-4.7826086956521741E-2</v>
      </c>
      <c r="E35" s="22" t="s">
        <v>138</v>
      </c>
    </row>
    <row r="36" spans="1:5" ht="16.5" customHeight="1">
      <c r="A36" s="17" t="s">
        <v>139</v>
      </c>
      <c r="B36" s="43">
        <v>-475</v>
      </c>
      <c r="C36" s="44">
        <f>B36/B30</f>
        <v>-4.1304347826086954E-2</v>
      </c>
      <c r="E36" s="22" t="s">
        <v>140</v>
      </c>
    </row>
    <row r="37" spans="1:5" ht="16.5" customHeight="1">
      <c r="A37" s="17" t="s">
        <v>141</v>
      </c>
      <c r="B37" s="43">
        <v>-383</v>
      </c>
      <c r="C37" s="44">
        <f>B37/B30</f>
        <v>-3.3304347826086954E-2</v>
      </c>
      <c r="E37" s="22" t="s">
        <v>142</v>
      </c>
    </row>
    <row r="38" spans="1:5" ht="16.5" customHeight="1">
      <c r="A38" s="17" t="s">
        <v>143</v>
      </c>
      <c r="B38" s="43">
        <v>-73</v>
      </c>
      <c r="C38" s="44">
        <f>B38/B30</f>
        <v>-6.3478260869565218E-3</v>
      </c>
      <c r="E38" s="22" t="s">
        <v>144</v>
      </c>
    </row>
    <row r="39" spans="1:5" ht="16.5" customHeight="1">
      <c r="A39" s="46" t="s">
        <v>145</v>
      </c>
      <c r="B39" s="51">
        <f>SUM(B35:B38)</f>
        <v>-1481</v>
      </c>
      <c r="C39" s="44">
        <f>B39/B30</f>
        <v>-0.12878260869565217</v>
      </c>
      <c r="E39" s="22"/>
    </row>
    <row r="40" spans="1:5">
      <c r="A40" s="17"/>
      <c r="B40" s="33"/>
      <c r="C40" s="44"/>
      <c r="E40" s="22"/>
    </row>
    <row r="41" spans="1:5" ht="16.5" customHeight="1">
      <c r="A41" s="50" t="s">
        <v>146</v>
      </c>
      <c r="B41" s="33"/>
      <c r="C41" s="44"/>
      <c r="E41" s="22"/>
    </row>
    <row r="42" spans="1:5" ht="18.75" customHeight="1">
      <c r="A42" s="17" t="s">
        <v>147</v>
      </c>
      <c r="B42" s="43">
        <v>-300</v>
      </c>
      <c r="C42" s="44">
        <f>B42/B30</f>
        <v>-2.6086956521739129E-2</v>
      </c>
      <c r="E42" s="22" t="s">
        <v>148</v>
      </c>
    </row>
    <row r="43" spans="1:5" ht="18.75" customHeight="1">
      <c r="A43" s="17" t="s">
        <v>149</v>
      </c>
      <c r="B43" s="43">
        <v>-200</v>
      </c>
      <c r="C43" s="44">
        <f>B43/B30</f>
        <v>-1.7391304347826087E-2</v>
      </c>
      <c r="E43" s="22" t="s">
        <v>150</v>
      </c>
    </row>
    <row r="44" spans="1:5" ht="18.75" customHeight="1">
      <c r="A44" s="17" t="s">
        <v>151</v>
      </c>
      <c r="B44" s="43">
        <v>-100</v>
      </c>
      <c r="C44" s="44">
        <f>B44/B30</f>
        <v>-8.6956521739130436E-3</v>
      </c>
      <c r="E44" s="22" t="s">
        <v>152</v>
      </c>
    </row>
    <row r="45" spans="1:5" ht="16.5" customHeight="1">
      <c r="A45" s="46" t="s">
        <v>153</v>
      </c>
      <c r="B45" s="51">
        <f>SUM(B42:B44)</f>
        <v>-600</v>
      </c>
      <c r="C45" s="44">
        <f>B45/B30</f>
        <v>-5.2173913043478258E-2</v>
      </c>
      <c r="E45" s="22"/>
    </row>
    <row r="46" spans="1:5">
      <c r="A46" s="17"/>
      <c r="B46" s="33"/>
      <c r="C46" s="44"/>
      <c r="E46" s="22"/>
    </row>
    <row r="47" spans="1:5" ht="16.5" customHeight="1">
      <c r="A47" s="25" t="s">
        <v>154</v>
      </c>
      <c r="B47" s="52">
        <f>B32+B39+B45</f>
        <v>2979</v>
      </c>
      <c r="C47" s="53">
        <f>B47/B30</f>
        <v>0.25904347826086954</v>
      </c>
      <c r="E47" s="22"/>
    </row>
    <row r="50" spans="1:7" ht="18.75" customHeight="1">
      <c r="A50" s="42" t="s">
        <v>155</v>
      </c>
    </row>
    <row r="51" spans="1:7" ht="16.5" customHeight="1">
      <c r="A51" s="5"/>
      <c r="B51" s="5" t="s">
        <v>156</v>
      </c>
      <c r="C51" s="5" t="s">
        <v>157</v>
      </c>
      <c r="D51" s="5" t="s">
        <v>158</v>
      </c>
      <c r="E51" s="5" t="s">
        <v>159</v>
      </c>
      <c r="F51" s="5" t="s">
        <v>160</v>
      </c>
      <c r="G51" s="5" t="s">
        <v>161</v>
      </c>
    </row>
    <row r="52" spans="1:7" ht="18.75" customHeight="1">
      <c r="A52" s="17" t="s">
        <v>162</v>
      </c>
      <c r="B52" s="44">
        <v>0.44</v>
      </c>
      <c r="C52" s="44">
        <v>0.44</v>
      </c>
      <c r="D52" s="44">
        <v>0.44</v>
      </c>
      <c r="E52" s="44">
        <v>0.44</v>
      </c>
      <c r="F52" s="44">
        <v>0.44</v>
      </c>
      <c r="G52" s="44">
        <v>0.44</v>
      </c>
    </row>
    <row r="53" spans="1:7" ht="18.75" customHeight="1">
      <c r="A53" s="17" t="s">
        <v>163</v>
      </c>
      <c r="B53" s="54">
        <v>-0.16500000000000001</v>
      </c>
      <c r="C53" s="54">
        <v>-0.15</v>
      </c>
      <c r="D53" s="54">
        <v>-0.13500000000000001</v>
      </c>
      <c r="E53" s="54">
        <v>-0.11</v>
      </c>
      <c r="F53" s="54">
        <v>-7.4999999999999997E-2</v>
      </c>
      <c r="G53" s="54">
        <v>-6.5000000000000002E-2</v>
      </c>
    </row>
    <row r="54" spans="1:7" ht="18.75" customHeight="1">
      <c r="A54" s="17" t="s">
        <v>146</v>
      </c>
      <c r="B54" s="55">
        <v>-5.1999999999999998E-2</v>
      </c>
      <c r="C54" s="55">
        <v>-0.04</v>
      </c>
      <c r="D54" s="55">
        <v>-0.02</v>
      </c>
      <c r="E54" s="55">
        <v>-5.0000000000000001E-3</v>
      </c>
      <c r="F54" s="55">
        <v>0</v>
      </c>
      <c r="G54" s="55">
        <v>0</v>
      </c>
    </row>
    <row r="55" spans="1:7" ht="16.5" customHeight="1">
      <c r="A55" s="56" t="s">
        <v>48</v>
      </c>
      <c r="B55" s="57">
        <v>0.223</v>
      </c>
      <c r="C55" s="57">
        <v>0.25</v>
      </c>
      <c r="D55" s="57">
        <v>0.28499999999999998</v>
      </c>
      <c r="E55" s="57">
        <v>0.32500000000000001</v>
      </c>
      <c r="F55" s="57">
        <v>0.36499999999999999</v>
      </c>
      <c r="G55" s="57">
        <v>0.375</v>
      </c>
    </row>
    <row r="57" spans="1:7" ht="16.5" customHeight="1">
      <c r="A57" s="22" t="s">
        <v>164</v>
      </c>
    </row>
    <row r="58" spans="1:7" ht="16.5" customHeight="1">
      <c r="A58" s="22" t="s">
        <v>165</v>
      </c>
    </row>
    <row r="61" spans="1:7" ht="24" customHeight="1">
      <c r="A61" s="6" t="s">
        <v>166</v>
      </c>
      <c r="B61" s="6"/>
      <c r="C61" s="6"/>
      <c r="D61" s="6"/>
      <c r="E61" s="6"/>
    </row>
    <row r="62" spans="1:7" ht="16.5" customHeight="1">
      <c r="A62" s="5" t="s">
        <v>167</v>
      </c>
      <c r="B62" s="5" t="s">
        <v>168</v>
      </c>
      <c r="C62" s="5" t="s">
        <v>169</v>
      </c>
      <c r="D62" s="5" t="s">
        <v>170</v>
      </c>
      <c r="E62" s="5" t="s">
        <v>171</v>
      </c>
    </row>
    <row r="63" spans="1:7" ht="18.75" customHeight="1">
      <c r="A63" s="9">
        <v>2016</v>
      </c>
      <c r="B63" s="58" t="s">
        <v>172</v>
      </c>
      <c r="C63" s="59">
        <v>4.3</v>
      </c>
      <c r="D63" s="58" t="s">
        <v>173</v>
      </c>
      <c r="E63" s="58" t="s">
        <v>174</v>
      </c>
    </row>
    <row r="64" spans="1:7" ht="18.75" customHeight="1">
      <c r="A64" s="9">
        <v>2019</v>
      </c>
      <c r="B64" s="58" t="s">
        <v>175</v>
      </c>
      <c r="C64" s="59">
        <v>21.5</v>
      </c>
      <c r="D64" s="58" t="s">
        <v>176</v>
      </c>
      <c r="E64" s="58" t="s">
        <v>177</v>
      </c>
    </row>
    <row r="65" spans="1:5" ht="18.75" customHeight="1">
      <c r="A65" s="9">
        <v>2023</v>
      </c>
      <c r="B65" s="58" t="s">
        <v>178</v>
      </c>
      <c r="C65" s="59">
        <v>4</v>
      </c>
      <c r="D65" s="58" t="s">
        <v>173</v>
      </c>
      <c r="E65" s="58" t="s">
        <v>179</v>
      </c>
    </row>
    <row r="66" spans="1:5" ht="18.75" customHeight="1">
      <c r="A66" s="9">
        <v>2025</v>
      </c>
      <c r="B66" s="58" t="s">
        <v>180</v>
      </c>
      <c r="C66" s="59">
        <v>24.3</v>
      </c>
      <c r="D66" s="58" t="s">
        <v>181</v>
      </c>
      <c r="E66" s="58" t="s">
        <v>182</v>
      </c>
    </row>
    <row r="68" spans="1:5" ht="16.5" customHeight="1">
      <c r="A68" s="60" t="s">
        <v>183</v>
      </c>
    </row>
    <row r="69" spans="1:5" ht="16.5" customHeight="1">
      <c r="A69" s="60" t="s">
        <v>184</v>
      </c>
    </row>
    <row r="70" spans="1:5" ht="16.5" customHeight="1">
      <c r="A70" s="60" t="s">
        <v>185</v>
      </c>
    </row>
    <row r="71" spans="1:5" ht="16.5" customHeight="1">
      <c r="A71" s="60" t="s">
        <v>186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36" sqref="D36"/>
    </sheetView>
  </sheetViews>
  <sheetFormatPr baseColWidth="10" defaultColWidth="8.5" defaultRowHeight="17"/>
  <cols>
    <col min="1" max="1" width="18" style="4" customWidth="1"/>
    <col min="2" max="2" width="10" style="4" customWidth="1"/>
    <col min="3" max="6" width="10" customWidth="1"/>
    <col min="7" max="7" width="8.5" style="4" customWidth="1"/>
    <col min="8" max="16384" width="8.5" style="4"/>
  </cols>
  <sheetData>
    <row r="1" spans="1:11" ht="30" customHeight="1">
      <c r="A1" s="71" t="s">
        <v>187</v>
      </c>
      <c r="B1" s="72"/>
      <c r="C1" s="72"/>
      <c r="D1" s="72"/>
      <c r="E1" s="72"/>
      <c r="F1" s="72"/>
      <c r="G1" s="72"/>
      <c r="H1" s="73"/>
      <c r="I1" s="73"/>
      <c r="J1" s="73"/>
      <c r="K1" s="73"/>
    </row>
    <row r="2" spans="1:1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6.5" customHeight="1">
      <c r="A3" s="74" t="s">
        <v>188</v>
      </c>
      <c r="B3" s="75">
        <v>0.06</v>
      </c>
      <c r="C3" s="75">
        <v>7.0000000000000007E-2</v>
      </c>
      <c r="D3" s="75">
        <v>0.08</v>
      </c>
      <c r="E3" s="75">
        <v>0.09</v>
      </c>
      <c r="F3" s="75">
        <v>0.1</v>
      </c>
      <c r="G3" s="73"/>
      <c r="H3" s="73"/>
      <c r="I3" s="73"/>
      <c r="J3" s="73"/>
      <c r="K3" s="73"/>
    </row>
    <row r="4" spans="1:11" ht="18.75" customHeight="1">
      <c r="A4" s="76">
        <v>0.22</v>
      </c>
      <c r="B4" s="77">
        <v>204</v>
      </c>
      <c r="C4" s="77">
        <v>122</v>
      </c>
      <c r="D4" s="78">
        <v>81</v>
      </c>
      <c r="E4" s="79">
        <v>57</v>
      </c>
      <c r="F4" s="79">
        <v>40</v>
      </c>
      <c r="G4" s="73"/>
      <c r="H4" s="73"/>
      <c r="I4" s="73"/>
      <c r="J4" s="73"/>
      <c r="K4" s="73"/>
    </row>
    <row r="5" spans="1:11" ht="16.5" customHeight="1">
      <c r="A5" s="76">
        <v>0.24</v>
      </c>
      <c r="B5" s="77">
        <v>230</v>
      </c>
      <c r="C5" s="77">
        <v>139</v>
      </c>
      <c r="D5" s="77">
        <v>94</v>
      </c>
      <c r="E5" s="79">
        <v>66</v>
      </c>
      <c r="F5" s="79">
        <v>48</v>
      </c>
      <c r="G5" s="73"/>
      <c r="H5" s="73"/>
      <c r="I5" s="73"/>
      <c r="J5" s="73"/>
      <c r="K5" s="73"/>
    </row>
    <row r="6" spans="1:11" ht="16.5" customHeight="1">
      <c r="A6" s="76">
        <v>0.26</v>
      </c>
      <c r="B6" s="77">
        <v>256</v>
      </c>
      <c r="C6" s="77">
        <v>156</v>
      </c>
      <c r="D6" s="77">
        <v>106</v>
      </c>
      <c r="E6" s="78">
        <v>76</v>
      </c>
      <c r="F6" s="79">
        <v>56</v>
      </c>
      <c r="G6" s="73"/>
      <c r="H6" s="73"/>
      <c r="I6" s="73"/>
      <c r="J6" s="73"/>
      <c r="K6" s="73"/>
    </row>
    <row r="7" spans="1:11" ht="16.5" customHeight="1">
      <c r="A7" s="76">
        <v>0.28000000000000003</v>
      </c>
      <c r="B7" s="77">
        <v>282</v>
      </c>
      <c r="C7" s="77">
        <v>173</v>
      </c>
      <c r="D7" s="77">
        <v>119</v>
      </c>
      <c r="E7" s="77">
        <v>86</v>
      </c>
      <c r="F7" s="79">
        <v>64</v>
      </c>
      <c r="G7" s="73"/>
      <c r="H7" s="73"/>
      <c r="I7" s="73"/>
      <c r="J7" s="73"/>
      <c r="K7" s="73"/>
    </row>
    <row r="8" spans="1:11" ht="16.5" customHeight="1">
      <c r="A8" s="76">
        <v>0.3</v>
      </c>
      <c r="B8" s="77">
        <v>308</v>
      </c>
      <c r="C8" s="77">
        <v>190</v>
      </c>
      <c r="D8" s="77">
        <v>131</v>
      </c>
      <c r="E8" s="77">
        <v>96</v>
      </c>
      <c r="F8" s="78">
        <v>73</v>
      </c>
      <c r="G8" s="73"/>
      <c r="H8" s="73"/>
      <c r="I8" s="73"/>
      <c r="J8" s="73"/>
      <c r="K8" s="73"/>
    </row>
    <row r="9" spans="1:11" ht="16.5" customHeight="1">
      <c r="A9" s="76">
        <v>0.32</v>
      </c>
      <c r="B9" s="77">
        <v>334</v>
      </c>
      <c r="C9" s="77">
        <v>207</v>
      </c>
      <c r="D9" s="77">
        <v>144</v>
      </c>
      <c r="E9" s="77">
        <v>106</v>
      </c>
      <c r="F9" s="78">
        <v>81</v>
      </c>
      <c r="G9" s="73"/>
      <c r="H9" s="73"/>
      <c r="I9" s="73"/>
      <c r="J9" s="73"/>
      <c r="K9" s="73"/>
    </row>
    <row r="10" spans="1:11" ht="16.5" customHeight="1">
      <c r="A10" s="76">
        <v>0.33</v>
      </c>
      <c r="B10" s="77">
        <v>347</v>
      </c>
      <c r="C10" s="77">
        <v>216</v>
      </c>
      <c r="D10" s="77">
        <v>150</v>
      </c>
      <c r="E10" s="77">
        <v>111</v>
      </c>
      <c r="F10" s="77">
        <v>85</v>
      </c>
      <c r="G10" s="73"/>
      <c r="H10" s="73"/>
      <c r="I10" s="73"/>
      <c r="J10" s="73"/>
      <c r="K10" s="73"/>
    </row>
    <row r="11" spans="1:11" ht="16.5" customHeight="1">
      <c r="A11" s="76">
        <v>0.35</v>
      </c>
      <c r="B11" s="77">
        <v>373</v>
      </c>
      <c r="C11" s="77">
        <v>233</v>
      </c>
      <c r="D11" s="77">
        <v>163</v>
      </c>
      <c r="E11" s="77">
        <v>121</v>
      </c>
      <c r="F11" s="77">
        <v>93</v>
      </c>
      <c r="G11" s="73"/>
      <c r="H11" s="73"/>
      <c r="I11" s="73"/>
      <c r="J11" s="73"/>
      <c r="K11" s="73"/>
    </row>
    <row r="12" spans="1:1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ht="16.5" customHeight="1">
      <c r="A13" s="80" t="s">
        <v>189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ht="18.75" customHeight="1">
      <c r="A14" s="80" t="s">
        <v>190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ht="18.75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1" ht="18.75" customHeight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</row>
    <row r="17" spans="1:11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1" ht="16.5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1" ht="16.5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1" ht="16.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1" ht="16.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1:1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</row>
    <row r="23" spans="1:1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spans="1:1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zoomScaleNormal="100" workbookViewId="0">
      <selection activeCell="D34" sqref="D34"/>
    </sheetView>
  </sheetViews>
  <sheetFormatPr baseColWidth="10" defaultColWidth="8.5" defaultRowHeight="17"/>
  <cols>
    <col min="1" max="1" width="10" style="4" customWidth="1"/>
    <col min="2" max="5" width="14" style="4" customWidth="1"/>
    <col min="6" max="6" width="8.5" style="4" customWidth="1"/>
    <col min="7" max="16384" width="8.5" style="4"/>
  </cols>
  <sheetData>
    <row r="1" spans="1:5" ht="1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ht="15" customHeight="1">
      <c r="A2" s="58" t="s">
        <v>5</v>
      </c>
      <c r="B2" s="61">
        <v>0.81</v>
      </c>
      <c r="C2" s="62">
        <v>0.18</v>
      </c>
      <c r="D2" s="63">
        <v>610190</v>
      </c>
      <c r="E2" s="63">
        <v>20960</v>
      </c>
    </row>
    <row r="3" spans="1:5" ht="15" customHeight="1">
      <c r="A3" s="58" t="s">
        <v>6</v>
      </c>
      <c r="B3" s="61">
        <v>2.67</v>
      </c>
      <c r="C3" s="62">
        <v>0.25</v>
      </c>
      <c r="D3" s="63">
        <v>38160</v>
      </c>
      <c r="E3" s="63">
        <v>4710</v>
      </c>
    </row>
    <row r="4" spans="1:5" ht="15" customHeight="1">
      <c r="A4" s="58" t="s">
        <v>7</v>
      </c>
      <c r="B4" s="61">
        <v>2</v>
      </c>
      <c r="C4" s="62">
        <v>0.25</v>
      </c>
      <c r="D4" s="63">
        <v>31340</v>
      </c>
      <c r="E4" s="63">
        <v>248</v>
      </c>
    </row>
    <row r="5" spans="1:5" ht="15" customHeight="1">
      <c r="A5" s="58" t="s">
        <v>8</v>
      </c>
      <c r="B5" s="61">
        <v>0.76</v>
      </c>
      <c r="C5" s="62">
        <v>0.22</v>
      </c>
      <c r="D5" s="63">
        <v>33310</v>
      </c>
      <c r="E5" s="63">
        <v>22190</v>
      </c>
    </row>
    <row r="6" spans="1:5" ht="15" customHeight="1">
      <c r="A6" s="58" t="s">
        <v>9</v>
      </c>
      <c r="B6" s="61">
        <v>0.9</v>
      </c>
      <c r="C6" s="62">
        <v>0.2</v>
      </c>
      <c r="D6" s="63">
        <v>26210</v>
      </c>
      <c r="E6" s="63">
        <v>19548</v>
      </c>
    </row>
    <row r="7" spans="1:5" ht="15" customHeight="1">
      <c r="A7" s="58" t="s">
        <v>10</v>
      </c>
      <c r="B7" s="61">
        <v>1.93</v>
      </c>
      <c r="C7" s="62">
        <v>0.25</v>
      </c>
      <c r="D7" s="63">
        <v>16090</v>
      </c>
      <c r="E7" s="63">
        <v>0</v>
      </c>
    </row>
    <row r="8" spans="1:5" ht="15" customHeight="1">
      <c r="A8" s="58" t="s">
        <v>11</v>
      </c>
      <c r="B8" s="61">
        <v>0.97</v>
      </c>
      <c r="C8" s="62">
        <v>0.25</v>
      </c>
      <c r="D8" s="63">
        <v>5120</v>
      </c>
      <c r="E8" s="63">
        <v>3680</v>
      </c>
    </row>
    <row r="9" spans="1:5" ht="15" customHeight="1">
      <c r="A9" s="58" t="s">
        <v>12</v>
      </c>
      <c r="B9" s="61">
        <v>1.04</v>
      </c>
      <c r="C9" s="62">
        <v>0.25</v>
      </c>
      <c r="D9" s="63">
        <v>4150</v>
      </c>
      <c r="E9" s="63">
        <v>5240</v>
      </c>
    </row>
    <row r="10" spans="1:5" ht="15" customHeight="1">
      <c r="A10" s="58" t="s">
        <v>13</v>
      </c>
      <c r="B10" s="61">
        <v>1.1000000000000001</v>
      </c>
      <c r="C10" s="62">
        <v>0.2</v>
      </c>
      <c r="D10" s="63">
        <v>3610</v>
      </c>
      <c r="E10" s="63">
        <v>50</v>
      </c>
    </row>
    <row r="11" spans="1:5" ht="15" customHeight="1">
      <c r="A11" s="58" t="s">
        <v>14</v>
      </c>
      <c r="B11" s="61">
        <v>1.61</v>
      </c>
      <c r="C11" s="62">
        <v>0.22</v>
      </c>
      <c r="D11" s="63">
        <v>2860</v>
      </c>
      <c r="E11" s="63">
        <v>5200</v>
      </c>
    </row>
    <row r="12" spans="1:5" ht="15" customHeight="1">
      <c r="A12" s="58" t="s">
        <v>15</v>
      </c>
      <c r="B12" s="61">
        <v>0.84</v>
      </c>
      <c r="C12" s="62">
        <v>0.25</v>
      </c>
      <c r="D12" s="63">
        <v>1750</v>
      </c>
      <c r="E12" s="63">
        <v>820</v>
      </c>
    </row>
    <row r="13" spans="1:5" ht="15" customHeight="1">
      <c r="A13" s="58" t="s">
        <v>16</v>
      </c>
      <c r="B13" s="61">
        <v>1.1499999999999999</v>
      </c>
      <c r="C13" s="62">
        <v>0.25</v>
      </c>
      <c r="D13" s="63">
        <v>1640</v>
      </c>
      <c r="E13" s="63">
        <v>600</v>
      </c>
    </row>
    <row r="14" spans="1:5" ht="15" customHeight="1">
      <c r="A14" s="58" t="s">
        <v>17</v>
      </c>
      <c r="B14" s="61">
        <v>1.4</v>
      </c>
      <c r="C14" s="62">
        <v>0.25</v>
      </c>
      <c r="D14" s="63">
        <v>444</v>
      </c>
      <c r="E14" s="63">
        <v>3100</v>
      </c>
    </row>
    <row r="15" spans="1:5" ht="15" customHeight="1">
      <c r="A15" s="58" t="s">
        <v>18</v>
      </c>
      <c r="B15" s="61">
        <v>0.88</v>
      </c>
      <c r="C15" s="62">
        <v>0.25</v>
      </c>
      <c r="D15" s="63">
        <v>469</v>
      </c>
      <c r="E15" s="63">
        <v>200</v>
      </c>
    </row>
    <row r="16" spans="1:5" ht="15" customHeight="1">
      <c r="A16" s="58" t="s">
        <v>19</v>
      </c>
      <c r="B16" s="61">
        <v>1.82</v>
      </c>
      <c r="C16" s="62">
        <v>0.3</v>
      </c>
      <c r="D16" s="63">
        <v>383</v>
      </c>
      <c r="E16" s="63">
        <v>100</v>
      </c>
    </row>
    <row r="17" spans="1:5" ht="15" customHeight="1">
      <c r="A17" s="58" t="s">
        <v>20</v>
      </c>
      <c r="B17" s="61">
        <v>1.67</v>
      </c>
      <c r="C17" s="62">
        <v>0.25</v>
      </c>
      <c r="D17" s="63">
        <v>227</v>
      </c>
      <c r="E17" s="63">
        <v>400</v>
      </c>
    </row>
    <row r="18" spans="1:5" ht="15" customHeight="1">
      <c r="D18" s="64">
        <f>SUM(D2:D17)</f>
        <v>775953</v>
      </c>
      <c r="E18" s="64">
        <f>SUM(E2:E17)</f>
        <v>87046</v>
      </c>
    </row>
    <row r="20" spans="1:5" ht="15" customHeight="1">
      <c r="A20" s="17" t="s">
        <v>21</v>
      </c>
      <c r="B20" s="65">
        <f>MEDIAN(B2:B17)</f>
        <v>1.125</v>
      </c>
    </row>
    <row r="21" spans="1:5" ht="15" customHeight="1">
      <c r="A21" s="17" t="s">
        <v>22</v>
      </c>
      <c r="B21" s="29">
        <f>E18/D18</f>
        <v>0.11217947478777709</v>
      </c>
    </row>
    <row r="22" spans="1:5" ht="16.5" customHeight="1">
      <c r="A22" s="17" t="s">
        <v>23</v>
      </c>
      <c r="B22" s="65">
        <f>B20/(1+(1-MEDIAN(C2:C17))*B21)</f>
        <v>1.0376940221994384</v>
      </c>
    </row>
    <row r="23" spans="1:5" ht="16.5" customHeight="1">
      <c r="A23" s="17" t="s">
        <v>24</v>
      </c>
      <c r="B23" s="29">
        <f>E24/E23</f>
        <v>1.0228888583092519</v>
      </c>
      <c r="D23" s="22" t="s">
        <v>25</v>
      </c>
      <c r="E23" s="66">
        <v>21801</v>
      </c>
    </row>
    <row r="24" spans="1:5" ht="16.5" customHeight="1">
      <c r="A24" s="17" t="s">
        <v>26</v>
      </c>
      <c r="B24" s="65">
        <f>B22*(1+(1-0.25)*B23)</f>
        <v>1.8337782624308776</v>
      </c>
      <c r="D24" s="22" t="s">
        <v>27</v>
      </c>
      <c r="E24" s="66">
        <v>22300</v>
      </c>
    </row>
    <row r="25" spans="1:5" ht="15" customHeight="1">
      <c r="A25" s="17" t="s">
        <v>28</v>
      </c>
      <c r="B25" s="67">
        <v>4.1799999999999997E-2</v>
      </c>
    </row>
    <row r="27" spans="1:5" ht="15" customHeight="1">
      <c r="A27" s="17" t="s">
        <v>29</v>
      </c>
      <c r="B27" s="67">
        <v>1.01E-2</v>
      </c>
    </row>
    <row r="28" spans="1:5" ht="15" customHeight="1">
      <c r="A28" s="17" t="s">
        <v>30</v>
      </c>
      <c r="B28" s="67">
        <v>3.9300000000000002E-2</v>
      </c>
    </row>
    <row r="30" spans="1:5" ht="15" customHeight="1">
      <c r="A30" s="6" t="s">
        <v>31</v>
      </c>
      <c r="B30" s="6"/>
      <c r="C30" s="6"/>
      <c r="D30" s="6"/>
    </row>
    <row r="31" spans="1:5" ht="15" customHeight="1">
      <c r="A31" s="5"/>
      <c r="B31" s="5" t="s">
        <v>32</v>
      </c>
      <c r="C31" s="5" t="s">
        <v>33</v>
      </c>
      <c r="D31" s="5" t="s">
        <v>34</v>
      </c>
    </row>
    <row r="32" spans="1:5" ht="15" customHeight="1">
      <c r="A32" s="17" t="s">
        <v>35</v>
      </c>
      <c r="B32" s="43">
        <f>E23</f>
        <v>21801</v>
      </c>
      <c r="C32" s="43">
        <f>E24</f>
        <v>22300</v>
      </c>
      <c r="D32" s="43">
        <f>B32+C32</f>
        <v>44101</v>
      </c>
    </row>
    <row r="33" spans="1:4" ht="15" customHeight="1">
      <c r="A33" s="17" t="s">
        <v>36</v>
      </c>
      <c r="B33" s="44">
        <f>B32/D32</f>
        <v>0.49434253191537608</v>
      </c>
      <c r="C33" s="44">
        <f>C32/D32</f>
        <v>0.50565746808462397</v>
      </c>
      <c r="D33" s="44">
        <v>1</v>
      </c>
    </row>
    <row r="34" spans="1:4" ht="15" customHeight="1">
      <c r="A34" s="17" t="s">
        <v>37</v>
      </c>
      <c r="B34" s="68">
        <f>B28+B24*B25</f>
        <v>0.11595193136961068</v>
      </c>
      <c r="C34" s="68">
        <f>(B28+B27)*(1-0.25)</f>
        <v>3.705E-2</v>
      </c>
      <c r="D34" s="69">
        <f>B34*B33+C34*C33</f>
        <v>7.6054580526266582E-2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DCF</vt:lpstr>
      <vt:lpstr>GAAP-Adj Bridge</vt:lpstr>
      <vt:lpstr>Sensitivity</vt:lpstr>
      <vt:lpstr>Beta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KimMinyoung</dc:creator>
  <cp:lastModifiedBy>Minyoung Kim</cp:lastModifiedBy>
  <cp:revision>0</cp:revision>
  <dcterms:created xsi:type="dcterms:W3CDTF">2026-01-29T00:33:36Z</dcterms:created>
  <dcterms:modified xsi:type="dcterms:W3CDTF">2026-03-03T09:13:57Z</dcterms:modified>
  <dc:language>en-US</dc:language>
</cp:coreProperties>
</file>