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nyoungkim/Downloads/"/>
    </mc:Choice>
  </mc:AlternateContent>
  <xr:revisionPtr revIDLastSave="0" documentId="13_ncr:1_{CEEA2150-ABF8-C240-A47E-E44830B93CBE}" xr6:coauthVersionLast="47" xr6:coauthVersionMax="47" xr10:uidLastSave="{00000000-0000-0000-0000-000000000000}"/>
  <bookViews>
    <workbookView xWindow="28500" yWindow="3540" windowWidth="24500" windowHeight="16180" activeTab="1" xr2:uid="{1AE54AA1-119E-2344-9D11-8E3B3E092DDD}"/>
  </bookViews>
  <sheets>
    <sheet name="DCF" sheetId="1" r:id="rId1"/>
    <sheet name="Beta" sheetId="3" r:id="rId2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C37" i="3"/>
  <c r="D35" i="3"/>
  <c r="C36" i="3" s="1"/>
  <c r="C35" i="3"/>
  <c r="B36" i="3"/>
  <c r="B27" i="3"/>
  <c r="B21" i="3"/>
  <c r="E20" i="3"/>
  <c r="D21" i="3" s="1"/>
  <c r="D20" i="3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B7" i="1"/>
  <c r="B8" i="1" s="1"/>
  <c r="C4" i="1"/>
  <c r="D4" i="1" s="1"/>
  <c r="F21" i="3" l="1"/>
  <c r="B28" i="3" s="1"/>
  <c r="B37" i="3" s="1"/>
  <c r="D37" i="3" s="1"/>
  <c r="B9" i="1"/>
  <c r="B10" i="1" s="1"/>
  <c r="E4" i="1"/>
  <c r="D7" i="1"/>
  <c r="D8" i="1" s="1"/>
  <c r="C9" i="1"/>
  <c r="C7" i="1"/>
  <c r="C8" i="1" s="1"/>
  <c r="C10" i="1" s="1"/>
  <c r="C12" i="1" s="1"/>
  <c r="F4" i="1" l="1"/>
  <c r="E7" i="1"/>
  <c r="E8" i="1" s="1"/>
  <c r="D9" i="1"/>
  <c r="D10" i="1" s="1"/>
  <c r="D12" i="1" s="1"/>
  <c r="G4" i="1" l="1"/>
  <c r="E9" i="1"/>
  <c r="E10" i="1" s="1"/>
  <c r="E12" i="1" s="1"/>
  <c r="F7" i="1"/>
  <c r="F8" i="1" s="1"/>
  <c r="H4" i="1" l="1"/>
  <c r="F9" i="1"/>
  <c r="F10" i="1" s="1"/>
  <c r="F12" i="1" s="1"/>
  <c r="G7" i="1"/>
  <c r="G8" i="1" s="1"/>
  <c r="I4" i="1" l="1"/>
  <c r="G9" i="1"/>
  <c r="G10" i="1" s="1"/>
  <c r="G12" i="1" s="1"/>
  <c r="H7" i="1"/>
  <c r="H8" i="1" s="1"/>
  <c r="J4" i="1" l="1"/>
  <c r="H9" i="1"/>
  <c r="H10" i="1" s="1"/>
  <c r="H12" i="1" s="1"/>
  <c r="I7" i="1"/>
  <c r="I8" i="1" s="1"/>
  <c r="K4" i="1" l="1"/>
  <c r="I9" i="1"/>
  <c r="I10" i="1" s="1"/>
  <c r="I12" i="1" s="1"/>
  <c r="J7" i="1"/>
  <c r="J8" i="1" s="1"/>
  <c r="L4" i="1" l="1"/>
  <c r="K7" i="1"/>
  <c r="K8" i="1" s="1"/>
  <c r="J9" i="1"/>
  <c r="J10" i="1" s="1"/>
  <c r="J12" i="1" s="1"/>
  <c r="M4" i="1" l="1"/>
  <c r="L7" i="1"/>
  <c r="L8" i="1" s="1"/>
  <c r="K9" i="1"/>
  <c r="K10" i="1" s="1"/>
  <c r="K12" i="1" s="1"/>
  <c r="M7" i="1" l="1"/>
  <c r="M8" i="1" s="1"/>
  <c r="M10" i="1" s="1"/>
  <c r="L9" i="1"/>
  <c r="L10" i="1" s="1"/>
  <c r="L12" i="1" s="1"/>
  <c r="B15" i="1" s="1"/>
  <c r="B16" i="1" l="1"/>
  <c r="B17" i="1" s="1"/>
  <c r="B18" i="1" s="1"/>
  <c r="B21" i="1" s="1"/>
  <c r="B25" i="1" s="1"/>
  <c r="B27" i="1" s="1"/>
  <c r="M12" i="1"/>
</calcChain>
</file>

<file path=xl/sharedStrings.xml><?xml version="1.0" encoding="utf-8"?>
<sst xmlns="http://schemas.openxmlformats.org/spreadsheetml/2006/main" count="104" uniqueCount="90">
  <si>
    <t>FY2025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</si>
  <si>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</si>
  <si>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</si>
  <si>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</si>
  <si>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</si>
  <si>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</si>
  <si>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</si>
  <si>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</si>
  <si>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</si>
  <si>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</si>
  <si>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</si>
  <si>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Terminal</t>
  </si>
  <si>
    <t>매출($M)</t>
  </si>
  <si>
    <t>매출성장률</t>
  </si>
  <si>
    <t>영업이익률(임대료조정)</t>
  </si>
  <si>
    <t>실효세율</t>
  </si>
  <si>
    <t>WACC</t>
  </si>
  <si>
    <t>영구성장률</t>
  </si>
  <si>
    <t>영업이익</t>
  </si>
  <si>
    <t>세후영업이익</t>
  </si>
  <si>
    <t>재투자</t>
  </si>
  <si>
    <t>Sales to Capital</t>
  </si>
  <si>
    <t>FCFF</t>
  </si>
  <si>
    <t>할인계수</t>
  </si>
  <si>
    <t>현재가치</t>
  </si>
  <si>
    <t>FCFF 합</t>
  </si>
  <si>
    <t>사업가치</t>
  </si>
  <si>
    <t>사업가치 계산</t>
  </si>
  <si>
    <t>기업가치 계산</t>
  </si>
  <si>
    <t>현금</t>
  </si>
  <si>
    <t>부채</t>
  </si>
  <si>
    <t>발행주식수</t>
  </si>
  <si>
    <t>주당 가치</t>
  </si>
  <si>
    <t>현재주가</t>
  </si>
  <si>
    <t>업사이드</t>
  </si>
  <si>
    <t>Terminal Value</t>
  </si>
  <si>
    <t>Terminal Value 현재가치</t>
  </si>
  <si>
    <t>FND DCF 밸류에이션(2026/3/23)</t>
  </si>
  <si>
    <t>Peer Group (Homebuilding + Specialty Retail Home)</t>
  </si>
  <si>
    <t>Peer</t>
  </si>
  <si>
    <t>Beta (5Y)</t>
  </si>
  <si>
    <t>Tax rate</t>
  </si>
  <si>
    <t>Market Cap ($M)</t>
  </si>
  <si>
    <t>Total Debt ($M)</t>
  </si>
  <si>
    <t>섹터</t>
  </si>
  <si>
    <t>DHI (D.R. Horton)</t>
  </si>
  <si>
    <t>Homebuilding</t>
  </si>
  <si>
    <t>LEN (Lennar)</t>
  </si>
  <si>
    <t>NVR</t>
  </si>
  <si>
    <t>PHM (PulteGroup)</t>
  </si>
  <si>
    <t>TOL (Toll Brothers)</t>
  </si>
  <si>
    <t>MDC Holdings</t>
  </si>
  <si>
    <t>MTH (Meritage Homes)</t>
  </si>
  <si>
    <t>SKY (Skyline Champion)</t>
  </si>
  <si>
    <t>LGIH (LGI Homes)</t>
  </si>
  <si>
    <t>BZH (Beazer Homes)</t>
  </si>
  <si>
    <t>WSM (Williams-Sonoma)</t>
  </si>
  <si>
    <t>Specialty Retail</t>
  </si>
  <si>
    <t>RH</t>
  </si>
  <si>
    <t>W (Wayfair)</t>
  </si>
  <si>
    <r>
      <rPr>
        <i/>
        <sz val="9"/>
        <color rgb="FF888888"/>
        <rFont val="Arial"/>
        <family val="2"/>
      </rPr>
      <t xml:space="preserve">Specialty Retail  * </t>
    </r>
    <r>
      <rPr>
        <i/>
        <sz val="9"/>
        <color rgb="FF888888"/>
        <rFont val="Noto Sans CJK SC"/>
        <family val="2"/>
      </rPr>
      <t>적자</t>
    </r>
    <r>
      <rPr>
        <i/>
        <sz val="9"/>
        <color rgb="FF888888"/>
        <rFont val="Arial"/>
        <family val="2"/>
      </rPr>
      <t xml:space="preserve">, </t>
    </r>
    <r>
      <rPr>
        <i/>
        <sz val="9"/>
        <color rgb="FF888888"/>
        <rFont val="Noto Sans CJK SC"/>
        <family val="2"/>
      </rPr>
      <t xml:space="preserve">세율 </t>
    </r>
    <r>
      <rPr>
        <i/>
        <sz val="9"/>
        <color rgb="FF888888"/>
        <rFont val="Arial"/>
        <family val="2"/>
      </rPr>
      <t>0%</t>
    </r>
  </si>
  <si>
    <t>ARHS (Arhaus)</t>
  </si>
  <si>
    <t>HVT (Haverty Furniture)</t>
  </si>
  <si>
    <t>HD (Home Depot)</t>
  </si>
  <si>
    <t>Home Improvement Retail</t>
  </si>
  <si>
    <t>LOW (Lowe's)</t>
  </si>
  <si>
    <t>Median β</t>
  </si>
  <si>
    <t>D/E (mkt)</t>
  </si>
  <si>
    <t>Unlevered β →</t>
  </si>
  <si>
    <r>
      <rPr>
        <i/>
        <sz val="9"/>
        <color rgb="FF888888"/>
        <rFont val="Arial"/>
        <family val="2"/>
      </rPr>
      <t xml:space="preserve">* Damodaran Homebuilding </t>
    </r>
    <r>
      <rPr>
        <i/>
        <sz val="9"/>
        <color rgb="FF888888"/>
        <rFont val="Noto Sans CJK SC"/>
        <family val="2"/>
      </rPr>
      <t xml:space="preserve">섹터 평균 참고 </t>
    </r>
    <r>
      <rPr>
        <i/>
        <sz val="9"/>
        <color rgb="FF888888"/>
        <rFont val="Arial"/>
        <family val="2"/>
      </rPr>
      <t>(Jan 2026): Levered 0.91, Unlevered 0.773</t>
    </r>
  </si>
  <si>
    <t>FND Re-levering</t>
  </si>
  <si>
    <r>
      <rPr>
        <sz val="10"/>
        <color rgb="FF333333"/>
        <rFont val="Arial"/>
        <family val="2"/>
      </rPr>
      <t xml:space="preserve">FND </t>
    </r>
    <r>
      <rPr>
        <sz val="10"/>
        <color rgb="FF333333"/>
        <rFont val="Noto Sans CJK SC"/>
        <family val="2"/>
      </rPr>
      <t xml:space="preserve">시가총액 </t>
    </r>
    <r>
      <rPr>
        <sz val="10"/>
        <color rgb="FF333333"/>
        <rFont val="Arial"/>
        <family val="2"/>
      </rPr>
      <t>($M)</t>
    </r>
  </si>
  <si>
    <t>시가총액 = 주가 $57.5 × 108.5M주</t>
  </si>
  <si>
    <r>
      <rPr>
        <sz val="10"/>
        <color rgb="FF333333"/>
        <rFont val="Arial"/>
        <family val="2"/>
      </rPr>
      <t xml:space="preserve">FND </t>
    </r>
    <r>
      <rPr>
        <sz val="10"/>
        <color rgb="FF333333"/>
        <rFont val="Noto Sans CJK SC"/>
        <family val="2"/>
      </rPr>
      <t xml:space="preserve">총부채 </t>
    </r>
    <r>
      <rPr>
        <sz val="10"/>
        <color rgb="FF333333"/>
        <rFont val="Arial"/>
        <family val="2"/>
      </rPr>
      <t xml:space="preserve">($M, </t>
    </r>
    <r>
      <rPr>
        <sz val="10"/>
        <color rgb="FF333333"/>
        <rFont val="Noto Sans CJK SC"/>
        <family val="2"/>
      </rPr>
      <t>리스 포함</t>
    </r>
    <r>
      <rPr>
        <sz val="10"/>
        <color rgb="FF333333"/>
        <rFont val="Arial"/>
        <family val="2"/>
      </rPr>
      <t>)</t>
    </r>
  </si>
  <si>
    <t>차입금 $196M + 운용리스 $1,795M</t>
  </si>
  <si>
    <r>
      <rPr>
        <sz val="10"/>
        <color rgb="FF333333"/>
        <rFont val="Arial"/>
        <family val="2"/>
      </rPr>
      <t xml:space="preserve">FND </t>
    </r>
    <r>
      <rPr>
        <sz val="10"/>
        <color rgb="FF333333"/>
        <rFont val="Noto Sans CJK SC"/>
        <family val="2"/>
      </rPr>
      <t>부채비율</t>
    </r>
  </si>
  <si>
    <t>Re-levered β (FND)</t>
  </si>
  <si>
    <t>Cost of Capital</t>
  </si>
  <si>
    <t>ERP</t>
  </si>
  <si>
    <t>Damodaran ERP (Jan 2026)</t>
  </si>
  <si>
    <r>
      <rPr>
        <sz val="10"/>
        <color rgb="FF333333"/>
        <rFont val="Arial"/>
        <family val="2"/>
      </rPr>
      <t>Credit spread (BB</t>
    </r>
    <r>
      <rPr>
        <sz val="10"/>
        <color rgb="FF333333"/>
        <rFont val="Noto Sans CJK SC"/>
        <family val="2"/>
      </rPr>
      <t>등급</t>
    </r>
    <r>
      <rPr>
        <sz val="10"/>
        <color rgb="FF333333"/>
        <rFont val="Arial"/>
        <family val="2"/>
      </rPr>
      <t>)</t>
    </r>
  </si>
  <si>
    <t>Damodaran ratings spread Jan 2026</t>
  </si>
  <si>
    <t>US10Y (Rf)</t>
  </si>
  <si>
    <t>무위험이자율</t>
  </si>
  <si>
    <t>Equity</t>
  </si>
  <si>
    <t>Debt</t>
  </si>
  <si>
    <t>Capital</t>
  </si>
  <si>
    <t>금액</t>
  </si>
  <si>
    <t>비중</t>
  </si>
  <si>
    <t>비용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</si>
</sst>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8" formatCode="0.000"/>
    <numFmt numFmtId="169" formatCode="0.0"/>
    <numFmt numFmtId="171" formatCode="_(* #,##0.0_);_(* \(#,##0.0\);_(* &quot;-&quot;??_);_(@_)"/>
    <numFmt numFmtId="177" formatCode="0.0%"/>
  </numFmts>
  <fonts count="22">
    <font>
      <sz val="12"/>
      <color theme="1"/>
      <name val="Apple SD Gothic Neo"/>
      <family val="2"/>
    </font>
    <font>
      <sz val="12"/>
      <color theme="1"/>
      <name val="Apple SD Gothic Neo"/>
      <family val="2"/>
    </font>
    <font>
      <b/>
      <sz val="12"/>
      <color theme="1"/>
      <name val="Apple SD Gothic Neo"/>
      <family val="2"/>
      <charset val="129"/>
    </font>
    <font>
      <b/>
      <sz val="14"/>
      <color theme="1"/>
      <name val="Apple SD Gothic Neo"/>
      <family val="2"/>
      <charset val="129"/>
    </font>
    <font>
      <b/>
      <sz val="10.5"/>
      <color rgb="FF1B2A4A"/>
      <name val="Arial"/>
      <family val="2"/>
    </font>
    <font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Noto Sans CJK SC"/>
      <family val="2"/>
      <charset val="1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9"/>
      <color rgb="FF888888"/>
      <name val="Arial"/>
      <family val="2"/>
    </font>
    <font>
      <i/>
      <sz val="9"/>
      <color rgb="FF888888"/>
      <name val="Arial"/>
      <family val="2"/>
    </font>
    <font>
      <i/>
      <sz val="9"/>
      <color rgb="FF888888"/>
      <name val="Noto Sans CJK SC"/>
      <family val="2"/>
    </font>
    <font>
      <b/>
      <sz val="10"/>
      <color rgb="FF000000"/>
      <name val="Arial"/>
      <family val="2"/>
    </font>
    <font>
      <b/>
      <sz val="10"/>
      <color rgb="FF1B2A4A"/>
      <name val="Arial"/>
      <family val="2"/>
    </font>
    <font>
      <sz val="10"/>
      <color rgb="FF333333"/>
      <name val="Noto Sans CJK SC"/>
      <family val="2"/>
    </font>
    <font>
      <sz val="9"/>
      <color rgb="FF888888"/>
      <name val="Noto Sans CJK SC"/>
      <family val="2"/>
      <charset val="1"/>
    </font>
    <font>
      <sz val="11"/>
      <color rgb="FF0000FF"/>
      <name val="Arial"/>
      <family val="2"/>
    </font>
    <font>
      <b/>
      <sz val="11"/>
      <color rgb="FF1B2A4A"/>
      <name val="Arial"/>
      <family val="2"/>
    </font>
    <font>
      <sz val="10"/>
      <color rgb="FF333333"/>
      <name val="Noto Sans CJK SC"/>
      <family val="2"/>
      <charset val="1"/>
    </font>
    <font>
      <sz val="12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6FA"/>
        <bgColor rgb="FFFFFFFF"/>
      </patternFill>
    </fill>
    <fill>
      <patternFill patternType="solid">
        <fgColor rgb="FF2C3E6B"/>
        <bgColor rgb="FF333333"/>
      </patternFill>
    </fill>
    <fill>
      <patternFill patternType="solid">
        <fgColor rgb="FFE8F5E9"/>
        <bgColor rgb="FFF5F6FA"/>
      </patternFill>
    </fill>
    <fill>
      <patternFill patternType="solid">
        <fgColor rgb="FFFFF8E1"/>
        <bgColor rgb="FFF5F6F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0" fontId="0" fillId="0" borderId="0" xfId="0" applyNumberFormat="1"/>
    <xf numFmtId="9" fontId="0" fillId="0" borderId="0" xfId="0" applyNumberFormat="1"/>
    <xf numFmtId="0" fontId="2" fillId="0" borderId="0" xfId="0" applyFont="1"/>
    <xf numFmtId="169" fontId="0" fillId="0" borderId="0" xfId="0" applyNumberFormat="1"/>
    <xf numFmtId="171" fontId="0" fillId="0" borderId="0" xfId="1" applyNumberFormat="1" applyFont="1"/>
    <xf numFmtId="0" fontId="0" fillId="0" borderId="0" xfId="0" applyAlignment="1">
      <alignment horizontal="left"/>
    </xf>
    <xf numFmtId="0" fontId="2" fillId="3" borderId="0" xfId="0" applyFont="1" applyFill="1"/>
    <xf numFmtId="9" fontId="2" fillId="3" borderId="0" xfId="2" applyFont="1" applyFill="1"/>
    <xf numFmtId="0" fontId="3" fillId="0" borderId="0" xfId="0" applyFont="1" applyAlignment="1">
      <alignment horizontal="left"/>
    </xf>
    <xf numFmtId="0" fontId="0" fillId="2" borderId="1" xfId="0" applyFill="1" applyBorder="1"/>
    <xf numFmtId="0" fontId="0" fillId="0" borderId="1" xfId="0" applyBorder="1"/>
    <xf numFmtId="43" fontId="0" fillId="0" borderId="0" xfId="1" applyFont="1" applyBorder="1"/>
    <xf numFmtId="43" fontId="0" fillId="0" borderId="2" xfId="1" applyFont="1" applyBorder="1"/>
    <xf numFmtId="0" fontId="0" fillId="0" borderId="0" xfId="0" applyBorder="1"/>
    <xf numFmtId="9" fontId="0" fillId="0" borderId="0" xfId="0" applyNumberFormat="1" applyBorder="1"/>
    <xf numFmtId="9" fontId="0" fillId="0" borderId="2" xfId="0" applyNumberFormat="1" applyBorder="1"/>
    <xf numFmtId="10" fontId="0" fillId="0" borderId="0" xfId="0" applyNumberFormat="1" applyBorder="1"/>
    <xf numFmtId="2" fontId="0" fillId="0" borderId="0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0" fillId="2" borderId="5" xfId="0" applyFill="1" applyBorder="1"/>
    <xf numFmtId="0" fontId="4" fillId="4" borderId="0" xfId="0" applyFont="1" applyFill="1"/>
    <xf numFmtId="0" fontId="5" fillId="0" borderId="0" xfId="0" applyFont="1"/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right" vertical="center"/>
    </xf>
    <xf numFmtId="9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/>
    <xf numFmtId="2" fontId="8" fillId="0" borderId="0" xfId="0" applyNumberFormat="1" applyFont="1" applyAlignment="1">
      <alignment horizontal="right"/>
    </xf>
    <xf numFmtId="9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3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right"/>
    </xf>
    <xf numFmtId="177" fontId="13" fillId="0" borderId="0" xfId="0" applyNumberFormat="1" applyFont="1" applyAlignment="1">
      <alignment horizontal="right"/>
    </xf>
    <xf numFmtId="168" fontId="13" fillId="6" borderId="0" xfId="0" applyNumberFormat="1" applyFont="1" applyFill="1" applyAlignment="1">
      <alignment horizontal="right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17" fillId="7" borderId="0" xfId="0" applyNumberFormat="1" applyFont="1" applyFill="1" applyAlignment="1">
      <alignment horizontal="right" vertical="center"/>
    </xf>
    <xf numFmtId="177" fontId="9" fillId="0" borderId="0" xfId="0" applyNumberFormat="1" applyFont="1" applyAlignment="1">
      <alignment horizontal="right"/>
    </xf>
    <xf numFmtId="2" fontId="18" fillId="6" borderId="0" xfId="0" applyNumberFormat="1" applyFont="1" applyFill="1" applyAlignment="1">
      <alignment horizontal="right"/>
    </xf>
    <xf numFmtId="10" fontId="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3" fontId="20" fillId="0" borderId="0" xfId="0" applyNumberFormat="1" applyFont="1" applyAlignment="1">
      <alignment horizontal="right"/>
    </xf>
    <xf numFmtId="177" fontId="20" fillId="0" borderId="0" xfId="0" applyNumberFormat="1" applyFont="1" applyAlignment="1">
      <alignment horizontal="right"/>
    </xf>
    <xf numFmtId="10" fontId="20" fillId="0" borderId="0" xfId="0" applyNumberFormat="1" applyFont="1" applyAlignment="1">
      <alignment horizontal="right"/>
    </xf>
    <xf numFmtId="10" fontId="21" fillId="6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1B3A-F9AD-484F-B0F8-E437AFEDB8DB}">
  <dimension ref="A1:M32"/>
  <sheetViews>
    <sheetView workbookViewId="0">
      <selection activeCell="B25" sqref="B25"/>
    </sheetView>
  </sheetViews>
  <sheetFormatPr baseColWidth="10" defaultRowHeight="17"/>
  <cols>
    <col min="1" max="1" width="16.75" customWidth="1"/>
    <col min="2" max="12" width="10.75" bestFit="1" customWidth="1"/>
    <col min="13" max="13" width="11" bestFit="1" customWidth="1"/>
  </cols>
  <sheetData>
    <row r="1" spans="1:13" ht="19">
      <c r="A1" s="9" t="s">
        <v>37</v>
      </c>
    </row>
    <row r="2" spans="1:13">
      <c r="A2" s="6"/>
    </row>
    <row r="3" spans="1:13">
      <c r="A3" s="10"/>
      <c r="B3" s="22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</row>
    <row r="4" spans="1:13">
      <c r="A4" s="11" t="s">
        <v>12</v>
      </c>
      <c r="B4" s="12">
        <v>4684</v>
      </c>
      <c r="C4" s="12">
        <f>B4*(1+C5)</f>
        <v>4918.2</v>
      </c>
      <c r="D4" s="12">
        <f t="shared" ref="D4:M4" si="0">C4*(1+D5)</f>
        <v>5262.4740000000002</v>
      </c>
      <c r="E4" s="12">
        <f t="shared" si="0"/>
        <v>5630.8471800000007</v>
      </c>
      <c r="F4" s="12">
        <f t="shared" si="0"/>
        <v>6193.9318980000016</v>
      </c>
      <c r="G4" s="12">
        <f t="shared" si="0"/>
        <v>6937.2037257600023</v>
      </c>
      <c r="H4" s="12">
        <f t="shared" si="0"/>
        <v>7769.6681728512031</v>
      </c>
      <c r="I4" s="12">
        <f t="shared" si="0"/>
        <v>8702.0283535933486</v>
      </c>
      <c r="J4" s="12">
        <f t="shared" si="0"/>
        <v>9572.2311889526845</v>
      </c>
      <c r="K4" s="12">
        <f t="shared" si="0"/>
        <v>10242.287372179373</v>
      </c>
      <c r="L4" s="12">
        <f t="shared" si="0"/>
        <v>10754.401740788342</v>
      </c>
      <c r="M4" s="13">
        <f t="shared" si="0"/>
        <v>11184.577810419876</v>
      </c>
    </row>
    <row r="5" spans="1:13">
      <c r="A5" s="11" t="s">
        <v>13</v>
      </c>
      <c r="B5" s="14"/>
      <c r="C5" s="15">
        <v>0.05</v>
      </c>
      <c r="D5" s="15">
        <v>7.0000000000000007E-2</v>
      </c>
      <c r="E5" s="15">
        <v>7.0000000000000007E-2</v>
      </c>
      <c r="F5" s="15">
        <v>0.1</v>
      </c>
      <c r="G5" s="15">
        <v>0.12</v>
      </c>
      <c r="H5" s="15">
        <v>0.12</v>
      </c>
      <c r="I5" s="15">
        <v>0.12</v>
      </c>
      <c r="J5" s="15">
        <v>0.1</v>
      </c>
      <c r="K5" s="15">
        <v>7.0000000000000007E-2</v>
      </c>
      <c r="L5" s="15">
        <v>0.05</v>
      </c>
      <c r="M5" s="16">
        <v>0.04</v>
      </c>
    </row>
    <row r="6" spans="1:13">
      <c r="A6" s="11" t="s">
        <v>14</v>
      </c>
      <c r="B6" s="17">
        <v>0.13100000000000001</v>
      </c>
      <c r="C6" s="17">
        <v>0.13500000000000001</v>
      </c>
      <c r="D6" s="17">
        <v>0.13700000000000001</v>
      </c>
      <c r="E6" s="17">
        <v>0.14099999999999999</v>
      </c>
      <c r="F6" s="17">
        <v>0.14499999999999999</v>
      </c>
      <c r="G6" s="15">
        <v>0.15</v>
      </c>
      <c r="H6" s="15">
        <v>0.15</v>
      </c>
      <c r="I6" s="15">
        <v>0.15</v>
      </c>
      <c r="J6" s="15">
        <v>0.15</v>
      </c>
      <c r="K6" s="15">
        <v>0.15</v>
      </c>
      <c r="L6" s="15">
        <v>0.15</v>
      </c>
      <c r="M6" s="16">
        <v>0.15</v>
      </c>
    </row>
    <row r="7" spans="1:13">
      <c r="A7" s="11" t="s">
        <v>18</v>
      </c>
      <c r="B7" s="12">
        <f>B4*B6</f>
        <v>613.60400000000004</v>
      </c>
      <c r="C7" s="12">
        <f t="shared" ref="C7:M7" si="1">C4*C6</f>
        <v>663.95699999999999</v>
      </c>
      <c r="D7" s="12">
        <f t="shared" si="1"/>
        <v>720.9589380000001</v>
      </c>
      <c r="E7" s="12">
        <f t="shared" si="1"/>
        <v>793.94945238000003</v>
      </c>
      <c r="F7" s="12">
        <f t="shared" si="1"/>
        <v>898.1201252100002</v>
      </c>
      <c r="G7" s="12">
        <f t="shared" si="1"/>
        <v>1040.5805588640003</v>
      </c>
      <c r="H7" s="12">
        <f t="shared" si="1"/>
        <v>1165.4502259276803</v>
      </c>
      <c r="I7" s="12">
        <f t="shared" si="1"/>
        <v>1305.3042530390023</v>
      </c>
      <c r="J7" s="12">
        <f t="shared" si="1"/>
        <v>1435.8346783429026</v>
      </c>
      <c r="K7" s="12">
        <f t="shared" si="1"/>
        <v>1536.3431058269059</v>
      </c>
      <c r="L7" s="12">
        <f t="shared" si="1"/>
        <v>1613.1602611182514</v>
      </c>
      <c r="M7" s="13">
        <f t="shared" si="1"/>
        <v>1677.6866715629815</v>
      </c>
    </row>
    <row r="8" spans="1:13">
      <c r="A8" s="11" t="s">
        <v>19</v>
      </c>
      <c r="B8" s="12">
        <f>B7*(1-$B29)</f>
        <v>472.47508000000005</v>
      </c>
      <c r="C8" s="12">
        <f t="shared" ref="C8:M8" si="2">C7*(1-$B29)</f>
        <v>511.24689000000001</v>
      </c>
      <c r="D8" s="12">
        <f t="shared" si="2"/>
        <v>555.13838226000007</v>
      </c>
      <c r="E8" s="12">
        <f t="shared" si="2"/>
        <v>611.34107833259998</v>
      </c>
      <c r="F8" s="12">
        <f t="shared" si="2"/>
        <v>691.55249641170019</v>
      </c>
      <c r="G8" s="12">
        <f t="shared" si="2"/>
        <v>801.24703032528021</v>
      </c>
      <c r="H8" s="12">
        <f t="shared" si="2"/>
        <v>897.39667396431389</v>
      </c>
      <c r="I8" s="12">
        <f t="shared" si="2"/>
        <v>1005.0842748400319</v>
      </c>
      <c r="J8" s="12">
        <f t="shared" si="2"/>
        <v>1105.5927023240351</v>
      </c>
      <c r="K8" s="12">
        <f t="shared" si="2"/>
        <v>1182.9841914867177</v>
      </c>
      <c r="L8" s="12">
        <f t="shared" si="2"/>
        <v>1242.1334010610535</v>
      </c>
      <c r="M8" s="13">
        <f t="shared" si="2"/>
        <v>1291.8187371034958</v>
      </c>
    </row>
    <row r="9" spans="1:13">
      <c r="A9" s="11" t="s">
        <v>20</v>
      </c>
      <c r="B9" s="12">
        <f>(C4-B4)*(1/B32)</f>
        <v>292.74999999999977</v>
      </c>
      <c r="C9" s="12">
        <f>(D4-C4)*(1/C32)</f>
        <v>382.52666666666704</v>
      </c>
      <c r="D9" s="12">
        <f>(E4-D4)*(1/D32)</f>
        <v>409.30353333333392</v>
      </c>
      <c r="E9" s="12">
        <f>(F4-E4)*(1/E32)</f>
        <v>563.08471800000098</v>
      </c>
      <c r="F9" s="12">
        <f>(G4-F4)*(1/F32)</f>
        <v>675.70166160000053</v>
      </c>
      <c r="G9" s="12">
        <f>(H4-G4)*(1/G32)</f>
        <v>693.72037257600073</v>
      </c>
      <c r="H9" s="12">
        <f>(I4-H4)*(1/H32)</f>
        <v>621.57345382809694</v>
      </c>
      <c r="I9" s="12">
        <f>(J4-I4)*(1/I32)</f>
        <v>483.44601964407553</v>
      </c>
      <c r="J9" s="12">
        <f>(K4-J4)*(1/J32)</f>
        <v>352.66114906667815</v>
      </c>
      <c r="K9" s="12">
        <f>(L4-K4)*(1/K32)</f>
        <v>269.53387821524683</v>
      </c>
      <c r="L9" s="12">
        <f>(M4-L4)*(1/L32)</f>
        <v>226.40845770080742</v>
      </c>
      <c r="M9" s="13">
        <v>200</v>
      </c>
    </row>
    <row r="10" spans="1:13">
      <c r="A10" s="11" t="s">
        <v>22</v>
      </c>
      <c r="B10" s="12">
        <f>B8-B9</f>
        <v>179.72508000000028</v>
      </c>
      <c r="C10" s="12">
        <f t="shared" ref="C10:M10" si="3">C8-C9</f>
        <v>128.72022333333297</v>
      </c>
      <c r="D10" s="12">
        <f t="shared" si="3"/>
        <v>145.83484892666615</v>
      </c>
      <c r="E10" s="12">
        <f t="shared" si="3"/>
        <v>48.256360332599002</v>
      </c>
      <c r="F10" s="12">
        <f t="shared" si="3"/>
        <v>15.850834811699656</v>
      </c>
      <c r="G10" s="12">
        <f t="shared" si="3"/>
        <v>107.52665774927948</v>
      </c>
      <c r="H10" s="12">
        <f t="shared" si="3"/>
        <v>275.82322013621695</v>
      </c>
      <c r="I10" s="12">
        <f t="shared" si="3"/>
        <v>521.63825519595639</v>
      </c>
      <c r="J10" s="12">
        <f t="shared" si="3"/>
        <v>752.931553257357</v>
      </c>
      <c r="K10" s="12">
        <f t="shared" si="3"/>
        <v>913.4503132714708</v>
      </c>
      <c r="L10" s="12">
        <f t="shared" si="3"/>
        <v>1015.7249433602461</v>
      </c>
      <c r="M10" s="13">
        <f t="shared" si="3"/>
        <v>1091.8187371034958</v>
      </c>
    </row>
    <row r="11" spans="1:13">
      <c r="A11" s="11" t="s">
        <v>23</v>
      </c>
      <c r="B11" s="18"/>
      <c r="C11" s="18">
        <f>1/(1.0861)</f>
        <v>0.92072553171899452</v>
      </c>
      <c r="D11" s="18">
        <f>C11/(1.0861)</f>
        <v>0.84773550475922521</v>
      </c>
      <c r="E11" s="18">
        <f t="shared" ref="E11:M11" si="4">D11/(1.0861)</f>
        <v>0.78053172337650789</v>
      </c>
      <c r="F11" s="18">
        <f t="shared" si="4"/>
        <v>0.71865548602937834</v>
      </c>
      <c r="G11" s="18">
        <f t="shared" si="4"/>
        <v>0.66168445449717184</v>
      </c>
      <c r="H11" s="18">
        <f t="shared" si="4"/>
        <v>0.60922977119710142</v>
      </c>
      <c r="I11" s="18">
        <f t="shared" si="4"/>
        <v>0.56093340502449263</v>
      </c>
      <c r="J11" s="18">
        <f t="shared" si="4"/>
        <v>0.51646570760012211</v>
      </c>
      <c r="K11" s="18">
        <f t="shared" si="4"/>
        <v>0.47552316324474919</v>
      </c>
      <c r="L11" s="18">
        <f t="shared" si="4"/>
        <v>0.43782631732321992</v>
      </c>
      <c r="M11" s="19">
        <f t="shared" si="4"/>
        <v>0.40311786881799089</v>
      </c>
    </row>
    <row r="12" spans="1:13">
      <c r="A12" s="11" t="s">
        <v>24</v>
      </c>
      <c r="B12" s="20"/>
      <c r="C12" s="20">
        <f>C10*C11</f>
        <v>118.51599607157073</v>
      </c>
      <c r="D12" s="20">
        <f t="shared" ref="D12:M12" si="5">D10*D11</f>
        <v>123.62937926633269</v>
      </c>
      <c r="E12" s="20">
        <f t="shared" si="5"/>
        <v>37.665620094281252</v>
      </c>
      <c r="F12" s="20">
        <f t="shared" si="5"/>
        <v>11.391289395573406</v>
      </c>
      <c r="G12" s="20">
        <f t="shared" si="5"/>
        <v>71.148717876736086</v>
      </c>
      <c r="H12" s="20">
        <f t="shared" si="5"/>
        <v>168.03971729443518</v>
      </c>
      <c r="I12" s="20">
        <f t="shared" si="5"/>
        <v>292.60432267810307</v>
      </c>
      <c r="J12" s="20">
        <f t="shared" si="5"/>
        <v>388.86332742751989</v>
      </c>
      <c r="K12" s="20">
        <f t="shared" si="5"/>
        <v>434.3667824337569</v>
      </c>
      <c r="L12" s="20">
        <f t="shared" si="5"/>
        <v>444.7111113647527</v>
      </c>
      <c r="M12" s="21">
        <f t="shared" si="5"/>
        <v>440.1316424367115</v>
      </c>
    </row>
    <row r="14" spans="1:13">
      <c r="A14" s="3" t="s">
        <v>27</v>
      </c>
    </row>
    <row r="15" spans="1:13">
      <c r="A15" t="s">
        <v>25</v>
      </c>
      <c r="B15" s="5">
        <f>SUM(C12:L12)</f>
        <v>2090.9362639030619</v>
      </c>
    </row>
    <row r="16" spans="1:13">
      <c r="A16" t="s">
        <v>35</v>
      </c>
      <c r="B16" s="5">
        <f>M10*(1+M5)/(8.61%-B31)</f>
        <v>24631.051769796868</v>
      </c>
    </row>
    <row r="17" spans="1:13">
      <c r="A17" t="s">
        <v>36</v>
      </c>
      <c r="B17" s="5">
        <f>B16*M11</f>
        <v>9929.2170961861157</v>
      </c>
    </row>
    <row r="18" spans="1:13">
      <c r="A18" t="s">
        <v>26</v>
      </c>
      <c r="B18" s="5">
        <f>B15+B17</f>
        <v>12020.153360089178</v>
      </c>
    </row>
    <row r="19" spans="1:13">
      <c r="B19" s="4"/>
    </row>
    <row r="20" spans="1:13">
      <c r="A20" s="3" t="s">
        <v>28</v>
      </c>
      <c r="B20" s="4"/>
    </row>
    <row r="21" spans="1:13">
      <c r="A21" t="s">
        <v>26</v>
      </c>
      <c r="B21" s="5">
        <f>B18</f>
        <v>12020.153360089178</v>
      </c>
    </row>
    <row r="22" spans="1:13">
      <c r="A22" t="s">
        <v>29</v>
      </c>
      <c r="B22" s="5">
        <v>249</v>
      </c>
    </row>
    <row r="23" spans="1:13">
      <c r="A23" t="s">
        <v>30</v>
      </c>
      <c r="B23" s="5">
        <v>1991</v>
      </c>
    </row>
    <row r="24" spans="1:13">
      <c r="A24" t="s">
        <v>31</v>
      </c>
      <c r="B24" s="5">
        <v>108.5</v>
      </c>
    </row>
    <row r="25" spans="1:13">
      <c r="A25" t="s">
        <v>32</v>
      </c>
      <c r="B25" s="5">
        <f>(B21+B22-B23)/B24</f>
        <v>94.729524056121463</v>
      </c>
    </row>
    <row r="26" spans="1:13">
      <c r="A26" t="s">
        <v>33</v>
      </c>
      <c r="B26" s="5">
        <v>50.1</v>
      </c>
    </row>
    <row r="27" spans="1:13">
      <c r="A27" s="7" t="s">
        <v>34</v>
      </c>
      <c r="B27" s="8">
        <f>B25/B26-1</f>
        <v>0.89080886339563792</v>
      </c>
    </row>
    <row r="29" spans="1:13">
      <c r="A29" t="s">
        <v>15</v>
      </c>
      <c r="B29" s="2">
        <v>0.23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t="s">
        <v>16</v>
      </c>
      <c r="B30" s="1">
        <f>Beta!D37</f>
        <v>8.4771498961317734E-2</v>
      </c>
    </row>
    <row r="31" spans="1:13">
      <c r="A31" t="s">
        <v>17</v>
      </c>
      <c r="B31" s="2">
        <v>0.04</v>
      </c>
    </row>
    <row r="32" spans="1:13">
      <c r="A32" t="s">
        <v>21</v>
      </c>
      <c r="B32">
        <v>0.8</v>
      </c>
      <c r="C32">
        <v>0.9</v>
      </c>
      <c r="D32">
        <v>0.9</v>
      </c>
      <c r="E32">
        <v>1</v>
      </c>
      <c r="F32">
        <v>1.1000000000000001</v>
      </c>
      <c r="G32">
        <v>1.2</v>
      </c>
      <c r="H32">
        <v>1.5</v>
      </c>
      <c r="I32">
        <v>1.8</v>
      </c>
      <c r="J32">
        <v>1.9</v>
      </c>
      <c r="K32">
        <v>1.9</v>
      </c>
      <c r="L32">
        <v>1.9</v>
      </c>
      <c r="M32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93A4-6B1D-544C-AFFB-EA0CDA62B7EB}">
  <dimension ref="A1:F37"/>
  <sheetViews>
    <sheetView tabSelected="1" topLeftCell="A8" workbookViewId="0">
      <selection activeCell="G32" sqref="G32"/>
    </sheetView>
  </sheetViews>
  <sheetFormatPr baseColWidth="10" defaultRowHeight="17"/>
  <sheetData>
    <row r="1" spans="1:6">
      <c r="A1" s="23" t="s">
        <v>38</v>
      </c>
      <c r="B1" s="24"/>
      <c r="C1" s="24"/>
      <c r="D1" s="24"/>
      <c r="E1" s="24"/>
      <c r="F1" s="24"/>
    </row>
    <row r="2" spans="1:6">
      <c r="A2" s="25" t="s">
        <v>39</v>
      </c>
      <c r="B2" s="25" t="s">
        <v>40</v>
      </c>
      <c r="C2" s="25" t="s">
        <v>41</v>
      </c>
      <c r="D2" s="25" t="s">
        <v>42</v>
      </c>
      <c r="E2" s="25" t="s">
        <v>43</v>
      </c>
      <c r="F2" s="26" t="s">
        <v>44</v>
      </c>
    </row>
    <row r="3" spans="1:6">
      <c r="A3" s="27" t="s">
        <v>45</v>
      </c>
      <c r="B3" s="28">
        <v>0.89</v>
      </c>
      <c r="C3" s="29">
        <v>0.22</v>
      </c>
      <c r="D3" s="30">
        <v>43500</v>
      </c>
      <c r="E3" s="30">
        <v>5100</v>
      </c>
      <c r="F3" s="31" t="s">
        <v>46</v>
      </c>
    </row>
    <row r="4" spans="1:6">
      <c r="A4" s="27" t="s">
        <v>47</v>
      </c>
      <c r="B4" s="28">
        <v>0.85</v>
      </c>
      <c r="C4" s="29">
        <v>0.22</v>
      </c>
      <c r="D4" s="30">
        <v>33200</v>
      </c>
      <c r="E4" s="30">
        <v>3200</v>
      </c>
      <c r="F4" s="31" t="s">
        <v>46</v>
      </c>
    </row>
    <row r="5" spans="1:6">
      <c r="A5" s="27" t="s">
        <v>48</v>
      </c>
      <c r="B5" s="28">
        <v>0.74</v>
      </c>
      <c r="C5" s="29">
        <v>0.24</v>
      </c>
      <c r="D5" s="30">
        <v>23100</v>
      </c>
      <c r="E5" s="30">
        <v>0</v>
      </c>
      <c r="F5" s="31" t="s">
        <v>46</v>
      </c>
    </row>
    <row r="6" spans="1:6">
      <c r="A6" s="27" t="s">
        <v>49</v>
      </c>
      <c r="B6" s="28">
        <v>0.88</v>
      </c>
      <c r="C6" s="29">
        <v>0.22</v>
      </c>
      <c r="D6" s="30">
        <v>18900</v>
      </c>
      <c r="E6" s="30">
        <v>2800</v>
      </c>
      <c r="F6" s="31" t="s">
        <v>46</v>
      </c>
    </row>
    <row r="7" spans="1:6">
      <c r="A7" s="27" t="s">
        <v>50</v>
      </c>
      <c r="B7" s="28">
        <v>0.98</v>
      </c>
      <c r="C7" s="29">
        <v>0.22</v>
      </c>
      <c r="D7" s="30">
        <v>11200</v>
      </c>
      <c r="E7" s="30">
        <v>4400</v>
      </c>
      <c r="F7" s="31" t="s">
        <v>46</v>
      </c>
    </row>
    <row r="8" spans="1:6">
      <c r="A8" s="27" t="s">
        <v>51</v>
      </c>
      <c r="B8" s="28">
        <v>0.9</v>
      </c>
      <c r="C8" s="29">
        <v>0.22</v>
      </c>
      <c r="D8" s="30">
        <v>5100</v>
      </c>
      <c r="E8" s="30">
        <v>1900</v>
      </c>
      <c r="F8" s="31" t="s">
        <v>46</v>
      </c>
    </row>
    <row r="9" spans="1:6">
      <c r="A9" s="27" t="s">
        <v>52</v>
      </c>
      <c r="B9" s="28">
        <v>0.87</v>
      </c>
      <c r="C9" s="29">
        <v>0.22</v>
      </c>
      <c r="D9" s="30">
        <v>5800</v>
      </c>
      <c r="E9" s="30">
        <v>700</v>
      </c>
      <c r="F9" s="31" t="s">
        <v>46</v>
      </c>
    </row>
    <row r="10" spans="1:6">
      <c r="A10" s="27" t="s">
        <v>53</v>
      </c>
      <c r="B10" s="28">
        <v>1.07</v>
      </c>
      <c r="C10" s="29">
        <v>0.22</v>
      </c>
      <c r="D10" s="30">
        <v>4900</v>
      </c>
      <c r="E10" s="30">
        <v>400</v>
      </c>
      <c r="F10" s="31" t="s">
        <v>46</v>
      </c>
    </row>
    <row r="11" spans="1:6">
      <c r="A11" s="27" t="s">
        <v>54</v>
      </c>
      <c r="B11" s="28">
        <v>1.01</v>
      </c>
      <c r="C11" s="29">
        <v>0.22</v>
      </c>
      <c r="D11" s="30">
        <v>2100</v>
      </c>
      <c r="E11" s="30">
        <v>1100</v>
      </c>
      <c r="F11" s="31" t="s">
        <v>46</v>
      </c>
    </row>
    <row r="12" spans="1:6">
      <c r="A12" s="27" t="s">
        <v>55</v>
      </c>
      <c r="B12" s="28">
        <v>1.1100000000000001</v>
      </c>
      <c r="C12" s="29">
        <v>0.22</v>
      </c>
      <c r="D12" s="30">
        <v>1200</v>
      </c>
      <c r="E12" s="30">
        <v>1800</v>
      </c>
      <c r="F12" s="31" t="s">
        <v>46</v>
      </c>
    </row>
    <row r="13" spans="1:6">
      <c r="A13" s="27" t="s">
        <v>56</v>
      </c>
      <c r="B13" s="28">
        <v>1.52</v>
      </c>
      <c r="C13" s="29">
        <v>0.24</v>
      </c>
      <c r="D13" s="30">
        <v>24480</v>
      </c>
      <c r="E13" s="30">
        <v>640</v>
      </c>
      <c r="F13" s="31" t="s">
        <v>57</v>
      </c>
    </row>
    <row r="14" spans="1:6">
      <c r="A14" s="27" t="s">
        <v>58</v>
      </c>
      <c r="B14" s="28">
        <v>2.09</v>
      </c>
      <c r="C14" s="29">
        <v>0.21</v>
      </c>
      <c r="D14" s="30">
        <v>2410</v>
      </c>
      <c r="E14" s="30">
        <v>3970</v>
      </c>
      <c r="F14" s="31" t="s">
        <v>57</v>
      </c>
    </row>
    <row r="15" spans="1:6">
      <c r="A15" s="27" t="s">
        <v>59</v>
      </c>
      <c r="B15" s="28">
        <v>3.37</v>
      </c>
      <c r="C15" s="29">
        <v>0</v>
      </c>
      <c r="D15" s="30">
        <v>10000</v>
      </c>
      <c r="E15" s="30">
        <v>3800</v>
      </c>
      <c r="F15" s="32" t="s">
        <v>60</v>
      </c>
    </row>
    <row r="16" spans="1:6">
      <c r="A16" s="27" t="s">
        <v>61</v>
      </c>
      <c r="B16" s="28">
        <v>2.5299999999999998</v>
      </c>
      <c r="C16" s="29">
        <v>0.22</v>
      </c>
      <c r="D16" s="30">
        <v>1020</v>
      </c>
      <c r="E16" s="30">
        <v>581</v>
      </c>
      <c r="F16" s="31" t="s">
        <v>57</v>
      </c>
    </row>
    <row r="17" spans="1:6">
      <c r="A17" s="27" t="s">
        <v>62</v>
      </c>
      <c r="B17" s="28">
        <v>1.24</v>
      </c>
      <c r="C17" s="29">
        <v>0.22</v>
      </c>
      <c r="D17" s="30">
        <v>368</v>
      </c>
      <c r="E17" s="30">
        <v>254</v>
      </c>
      <c r="F17" s="31" t="s">
        <v>57</v>
      </c>
    </row>
    <row r="18" spans="1:6">
      <c r="A18" s="33" t="s">
        <v>63</v>
      </c>
      <c r="B18" s="34">
        <v>1.0900000000000001</v>
      </c>
      <c r="C18" s="35">
        <v>0.22</v>
      </c>
      <c r="D18" s="36">
        <v>340000</v>
      </c>
      <c r="E18" s="36">
        <v>49000</v>
      </c>
      <c r="F18" s="37" t="s">
        <v>64</v>
      </c>
    </row>
    <row r="19" spans="1:6">
      <c r="A19" s="33" t="s">
        <v>65</v>
      </c>
      <c r="B19" s="34">
        <v>0.98</v>
      </c>
      <c r="C19" s="35">
        <v>0.22</v>
      </c>
      <c r="D19" s="36">
        <v>133000</v>
      </c>
      <c r="E19" s="36">
        <v>44700</v>
      </c>
      <c r="F19" s="37" t="s">
        <v>64</v>
      </c>
    </row>
    <row r="20" spans="1:6">
      <c r="A20" s="24"/>
      <c r="D20" s="38">
        <f>SUM(D3:D19)</f>
        <v>660278</v>
      </c>
      <c r="E20" s="38">
        <f>SUM(E3:E19)</f>
        <v>124345</v>
      </c>
    </row>
    <row r="21" spans="1:6">
      <c r="A21" s="39" t="s">
        <v>66</v>
      </c>
      <c r="B21" s="40">
        <f>MEDIAN(B3:B19)</f>
        <v>1.01</v>
      </c>
      <c r="C21" s="39" t="s">
        <v>67</v>
      </c>
      <c r="D21" s="41">
        <f>E20/D20</f>
        <v>0.18832219156173613</v>
      </c>
      <c r="E21" s="31" t="s">
        <v>68</v>
      </c>
      <c r="F21" s="42">
        <f>B21/(1+(1-MEDIAN(C3:C19))*D21)</f>
        <v>0.8806414275755543</v>
      </c>
    </row>
    <row r="22" spans="1:6">
      <c r="A22" s="43" t="s">
        <v>69</v>
      </c>
      <c r="B22" s="43"/>
      <c r="C22" s="43"/>
      <c r="D22" s="43"/>
      <c r="E22" s="43"/>
      <c r="F22" s="43"/>
    </row>
    <row r="23" spans="1:6">
      <c r="A23" s="24"/>
      <c r="B23" s="24"/>
      <c r="C23" s="24"/>
      <c r="D23" s="24"/>
      <c r="E23" s="24"/>
      <c r="F23" s="24"/>
    </row>
    <row r="24" spans="1:6">
      <c r="A24" s="23" t="s">
        <v>70</v>
      </c>
      <c r="B24" s="24"/>
      <c r="C24" s="24"/>
      <c r="D24" s="24"/>
      <c r="E24" s="24"/>
      <c r="F24" s="24"/>
    </row>
    <row r="25" spans="1:6">
      <c r="A25" s="27" t="s">
        <v>71</v>
      </c>
      <c r="B25" s="24"/>
      <c r="C25" s="24"/>
      <c r="D25" s="44" t="s">
        <v>72</v>
      </c>
      <c r="E25" s="45">
        <v>6239</v>
      </c>
      <c r="F25" s="24"/>
    </row>
    <row r="26" spans="1:6">
      <c r="A26" s="27" t="s">
        <v>73</v>
      </c>
      <c r="B26" s="24"/>
      <c r="C26" s="24"/>
      <c r="D26" s="44" t="s">
        <v>74</v>
      </c>
      <c r="E26" s="45">
        <v>1991</v>
      </c>
      <c r="F26" s="24"/>
    </row>
    <row r="27" spans="1:6">
      <c r="A27" s="27" t="s">
        <v>75</v>
      </c>
      <c r="B27" s="46">
        <f>E26/E25</f>
        <v>0.31912165411123578</v>
      </c>
      <c r="C27" s="24"/>
      <c r="D27" s="24"/>
      <c r="E27" s="24"/>
      <c r="F27" s="24"/>
    </row>
    <row r="28" spans="1:6">
      <c r="A28" s="39" t="s">
        <v>76</v>
      </c>
      <c r="B28" s="47">
        <f>F21*(1+(1-0.21)*B27)</f>
        <v>1.1026565093225191</v>
      </c>
      <c r="C28" s="24"/>
      <c r="D28" s="24"/>
      <c r="E28" s="24"/>
      <c r="F28" s="24"/>
    </row>
    <row r="29" spans="1:6">
      <c r="A29" s="24"/>
      <c r="B29" s="24"/>
      <c r="C29" s="24"/>
      <c r="D29" s="24"/>
      <c r="E29" s="24"/>
      <c r="F29" s="24"/>
    </row>
    <row r="30" spans="1:6">
      <c r="A30" s="23" t="s">
        <v>77</v>
      </c>
    </row>
    <row r="31" spans="1:6">
      <c r="A31" s="27" t="s">
        <v>78</v>
      </c>
      <c r="B31" s="48">
        <v>0.05</v>
      </c>
      <c r="D31" s="31" t="s">
        <v>79</v>
      </c>
    </row>
    <row r="32" spans="1:6">
      <c r="A32" s="27" t="s">
        <v>80</v>
      </c>
      <c r="B32" s="48">
        <v>1.84E-2</v>
      </c>
      <c r="D32" s="31" t="s">
        <v>81</v>
      </c>
    </row>
    <row r="33" spans="1:4">
      <c r="A33" s="27" t="s">
        <v>82</v>
      </c>
      <c r="B33" s="48">
        <v>4.2999999999999997E-2</v>
      </c>
      <c r="D33" s="44" t="s">
        <v>83</v>
      </c>
    </row>
    <row r="34" spans="1:4">
      <c r="B34" s="25" t="s">
        <v>84</v>
      </c>
      <c r="C34" s="25" t="s">
        <v>85</v>
      </c>
      <c r="D34" s="25" t="s">
        <v>86</v>
      </c>
    </row>
    <row r="35" spans="1:4">
      <c r="A35" s="49" t="s">
        <v>87</v>
      </c>
      <c r="B35" s="50">
        <v>5404</v>
      </c>
      <c r="C35" s="50">
        <f>E26</f>
        <v>1991</v>
      </c>
      <c r="D35" s="50">
        <f>B35+C35</f>
        <v>7395</v>
      </c>
    </row>
    <row r="36" spans="1:4">
      <c r="A36" s="49" t="s">
        <v>88</v>
      </c>
      <c r="B36" s="51">
        <f>B35/D35</f>
        <v>0.73076402974983101</v>
      </c>
      <c r="C36" s="51">
        <f>C35/D35</f>
        <v>0.26923597025016904</v>
      </c>
      <c r="D36" s="51">
        <v>1</v>
      </c>
    </row>
    <row r="37" spans="1:4">
      <c r="A37" s="49" t="s">
        <v>89</v>
      </c>
      <c r="B37" s="52">
        <f>B33+B28*B31</f>
        <v>9.813282546612595E-2</v>
      </c>
      <c r="C37" s="52">
        <f>(B33+B32)*(1-0.21)</f>
        <v>4.8506000000000001E-2</v>
      </c>
      <c r="D37" s="53">
        <f>B37*B36+C37*C36</f>
        <v>8.4771498961317734E-2</v>
      </c>
    </row>
  </sheetData>
  <mergeCells count="1">
    <mergeCell ref="A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DCF</vt:lpstr>
      <vt:lpstr>Beta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Minyoung Kim</dc:creator>
  <cp:lastModifiedBy>Minyoung Kim</cp:lastModifiedBy>
  <dcterms:created xsi:type="dcterms:W3CDTF">2026-03-20T02:02:18Z</dcterms:created>
  <dcterms:modified xsi:type="dcterms:W3CDTF">2026-03-23T03:20:43Z</dcterms:modified>
</cp:coreProperties>
</file>